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comments14.xml" ContentType="application/vnd.openxmlformats-officedocument.spreadsheetml.comments+xml"/>
  <Override PartName="/xl/worksheets/sheet14.xml" ContentType="application/vnd.openxmlformats-officedocument.spreadsheetml.worksheet+xml"/>
  <Override PartName="/xl/comments15.xml" ContentType="application/vnd.openxmlformats-officedocument.spreadsheetml.comments+xml"/>
  <Override PartName="/xl/worksheets/sheet15.xml" ContentType="application/vnd.openxmlformats-officedocument.spreadsheetml.worksheet+xml"/>
  <Override PartName="/xl/comments16.xml" ContentType="application/vnd.openxmlformats-officedocument.spreadsheetml.comments+xml"/>
  <Override PartName="/xl/worksheets/sheet16.xml" ContentType="application/vnd.openxmlformats-officedocument.spreadsheetml.worksheet+xml"/>
  <Override PartName="/xl/comments17.xml" ContentType="application/vnd.openxmlformats-officedocument.spreadsheetml.comments+xml"/>
  <Override PartName="/xl/worksheets/sheet17.xml" ContentType="application/vnd.openxmlformats-officedocument.spreadsheetml.worksheet+xml"/>
  <Override PartName="/xl/drawings/drawing11.xml" ContentType="application/vnd.openxmlformats-officedocument.drawing+xml"/>
  <Override PartName="/xl/worksheets/sheet18.xml" ContentType="application/vnd.openxmlformats-officedocument.spreadsheetml.worksheet+xml"/>
  <Override PartName="/xl/drawings/drawing12.xml" ContentType="application/vnd.openxmlformats-officedocument.drawing+xml"/>
  <Override PartName="/xl/worksheets/sheet19.xml" ContentType="application/vnd.openxmlformats-officedocument.spreadsheetml.worksheet+xml"/>
  <Override PartName="/xl/drawings/drawing13.xml" ContentType="application/vnd.openxmlformats-officedocument.drawing+xml"/>
  <Override PartName="/xl/worksheets/sheet20.xml" ContentType="application/vnd.openxmlformats-officedocument.spreadsheetml.worksheet+xml"/>
  <Override PartName="/xl/comments21.xml" ContentType="application/vnd.openxmlformats-officedocument.spreadsheetml.comments+xml"/>
  <Override PartName="/xl/worksheets/sheet21.xml" ContentType="application/vnd.openxmlformats-officedocument.spreadsheetml.worksheet+xml"/>
  <Override PartName="/xl/comments22.xml" ContentType="application/vnd.openxmlformats-officedocument.spreadsheetml.comments+xml"/>
  <Override PartName="/xl/drawings/drawing14.xml" ContentType="application/vnd.openxmlformats-officedocument.drawing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840" yWindow="1020" windowWidth="11040" windowHeight="6165" tabRatio="598" firstSheet="20" activeTab="22"/>
  </bookViews>
  <sheets>
    <sheet name="Graph1Remettants08 98" sheetId="1" r:id="rId1"/>
    <sheet name="Base_donProduct1298bouclemnt" sheetId="2" r:id="rId2"/>
    <sheet name="Base_donVpz" sheetId="3" r:id="rId3"/>
    <sheet name="FluxTOTAL mars 99" sheetId="4" r:id="rId4"/>
    <sheet name="Mixt&amp;Batt.mars 99 SKI (2)" sheetId="5" r:id="rId5"/>
    <sheet name="Accu&amp;Résé mars 99" sheetId="6" r:id="rId6"/>
    <sheet name="Hg&amp;PoussBtn mars 99" sheetId="7" r:id="rId7"/>
    <sheet name="bdoCH RT      99" sheetId="8" r:id="rId8"/>
    <sheet name="bdoVPZ RT mars  99" sheetId="9" r:id="rId9"/>
    <sheet name="Mouvmt VPZ Résé 10 Z févr 99" sheetId="10" r:id="rId10"/>
    <sheet name="Mélange RESE MIXTES févr 99 (2)" sheetId="11" r:id="rId11"/>
    <sheet name="Mélange RESE MIXTES mars 99" sheetId="12" r:id="rId12"/>
    <sheet name="Doc A 1500 MouvmntPrèp" sheetId="13" r:id="rId13"/>
    <sheet name="A1500PELEVEMENT SILO S    (1)" sheetId="14" r:id="rId14"/>
    <sheet name="A1500PELEVEMENT SILO S   (2)   " sheetId="15" r:id="rId15"/>
    <sheet name="A1500PELEVEMENT SILO S      (3)" sheetId="16" r:id="rId16"/>
    <sheet name="A1500PELEVEMENT SILO S 09mars99" sheetId="17" r:id="rId17"/>
    <sheet name="MDT Tri RELEVE TOT  99" sheetId="18" r:id="rId18"/>
    <sheet name="MDT Tri ROULEAUX" sheetId="19" r:id="rId19"/>
    <sheet name="MDT Tri VIBRATEUR" sheetId="20" r:id="rId20"/>
    <sheet name="bdoVPZ RTCopvide (2)" sheetId="21" r:id="rId21"/>
    <sheet name="Remettants mars 99" sheetId="22" r:id="rId22"/>
    <sheet name="IDODS" sheetId="23" r:id="rId23"/>
  </sheets>
  <externalReferences>
    <externalReference r:id="rId26"/>
  </externalReferences>
  <definedNames>
    <definedName name="accumulateurs" localSheetId="15">'A1500PELEVEMENT SILO S      (3)'!$G$18</definedName>
    <definedName name="accumulateurs" localSheetId="13">'A1500PELEVEMENT SILO S    (1)'!$G$18</definedName>
    <definedName name="accumulateurs" localSheetId="14">'A1500PELEVEMENT SILO S   (2)   '!$G$18</definedName>
    <definedName name="accumulateurs" localSheetId="9">'Mouvmt VPZ Résé 10 Z févr 99'!$G$18</definedName>
    <definedName name="accumulateurs">'A1500PELEVEMENT SILO S 09mars99'!$G$18</definedName>
    <definedName name="Batt6V" localSheetId="4">'Mixt&amp;Batt.mars 99 SKI (2)'!$B$26</definedName>
    <definedName name="Batt6V">#REF!</definedName>
    <definedName name="sécuritasSira">'Accu&amp;Résé mars 99'!$A$15</definedName>
    <definedName name="sécuSira">'Accu&amp;Résé mars 99'!$A$15</definedName>
    <definedName name="Sira" localSheetId="4">'Mixt&amp;Batt.mars 99 SKI (2)'!$G$25</definedName>
    <definedName name="Sira">#REF!</definedName>
    <definedName name="wrn.Mouvmnt._.Stock." localSheetId="15" hidden="1">{#N/A,#N/A,FALSE,"Base_donVpz";#N/A,#N/A,FALSE,"FluxTOTAL jan 99";#N/A,#N/A,FALSE,"Mixt&amp;Batt.jan 99 SKI (2)";#N/A,#N/A,FALSE,"Accu&amp;R?s? Jan99";#N/A,#N/A,FALSE,"Hg&amp;PoussBtn jan99";#N/A,#N/A,FALSE,"bdoCH RT jan99";#N/A,#N/A,FALSE,"bdoVPZ RT jan99";#N/A,#N/A,FALSE,"Pr?l?vemtSilo Jan99";#N/A,#N/A,FALSE,"Remettants jan99"}</definedName>
    <definedName name="wrn.Mouvmnt._.Stock." localSheetId="13" hidden="1">{#N/A,#N/A,FALSE,"Base_donVpz";#N/A,#N/A,FALSE,"FluxTOTAL jan 99";#N/A,#N/A,FALSE,"Mixt&amp;Batt.jan 99 SKI (2)";#N/A,#N/A,FALSE,"Accu&amp;R?s? Jan99";#N/A,#N/A,FALSE,"Hg&amp;PoussBtn jan99";#N/A,#N/A,FALSE,"bdoCH RT jan99";#N/A,#N/A,FALSE,"bdoVPZ RT jan99";#N/A,#N/A,FALSE,"Pr?l?vemtSilo Jan99";#N/A,#N/A,FALSE,"Remettants jan99"}</definedName>
    <definedName name="wrn.Mouvmnt._.Stock." localSheetId="14" hidden="1">{#N/A,#N/A,FALSE,"Base_donVpz";#N/A,#N/A,FALSE,"FluxTOTAL jan 99";#N/A,#N/A,FALSE,"Mixt&amp;Batt.jan 99 SKI (2)";#N/A,#N/A,FALSE,"Accu&amp;R?s? Jan99";#N/A,#N/A,FALSE,"Hg&amp;PoussBtn jan99";#N/A,#N/A,FALSE,"bdoCH RT jan99";#N/A,#N/A,FALSE,"bdoVPZ RT jan99";#N/A,#N/A,FALSE,"Pr?l?vemtSilo Jan99";#N/A,#N/A,FALSE,"Remettants jan99"}</definedName>
    <definedName name="wrn.Mouvmnt._.Stock." localSheetId="20" hidden="1">{#N/A,#N/A,FALSE,"Pr?l?vemtSiloJuillet98";#N/A,#N/A,FALSE,"RemettantsJuillet98"}</definedName>
    <definedName name="wrn.Mouvmnt._.Stock." localSheetId="17" hidden="1">{#N/A,#N/A,FALSE,"Mixt&amp;Batt1298SKI (2)";#N/A,#N/A,FALSE,"FluxTOTALd?c98";#N/A,#N/A,FALSE,"Accu&amp;R?s?1298";#N/A,#N/A,FALSE,"Hg&amp;PoussBtn1298";#N/A,#N/A,FALSE,"Remettantsd?c98";#N/A,#N/A,FALSE,"bdoVPZ RTd?c98"}</definedName>
    <definedName name="wrn.Mouvmnt._.Stock." localSheetId="10" hidden="1">{#N/A,#N/A,FALSE,"Base_donVpz";#N/A,#N/A,FALSE,"FluxTOTAL jan 99";#N/A,#N/A,FALSE,"Mixt&amp;Batt.jan 99 SKI (2)";#N/A,#N/A,FALSE,"Accu&amp;R?s? Jan99";#N/A,#N/A,FALSE,"Hg&amp;PoussBtn jan99";#N/A,#N/A,FALSE,"bdoCH RT jan99";#N/A,#N/A,FALSE,"bdoVPZ RT jan99";#N/A,#N/A,FALSE,"Pr?l?vemtSilo Jan99";#N/A,#N/A,FALSE,"Remettants jan99"}</definedName>
    <definedName name="wrn.Mouvmnt._.Stock." hidden="1">{#N/A,#N/A,FALSE,"Base_donVpz";#N/A,#N/A,FALSE,"FluxTOTAL jan 99";#N/A,#N/A,FALSE,"Mixt&amp;Batt.jan 99 SKI (2)";#N/A,#N/A,FALSE,"Accu&amp;R?s? Jan99";#N/A,#N/A,FALSE,"Hg&amp;PoussBtn jan99";#N/A,#N/A,FALSE,"bdoCH RT jan99";#N/A,#N/A,FALSE,"bdoVPZ RT jan99";#N/A,#N/A,FALSE,"Pr?l?vemtSilo Jan99";#N/A,#N/A,FALSE,"Remettants jan99"}</definedName>
    <definedName name="_xlnm.Print_Area" localSheetId="5">'Accu&amp;Résé mars 99'!$A$1:$O$42</definedName>
    <definedName name="_xlnm.Print_Area" localSheetId="1">'Base_donProduct1298bouclemnt'!$A$1:$T$32</definedName>
    <definedName name="_xlnm.Print_Area" localSheetId="20">'bdoVPZ RTCopvide (2)'!$A$1:$U$54</definedName>
    <definedName name="_xlnm.Print_Area" localSheetId="6">'Hg&amp;PoussBtn mars 99'!$A$1:$O$42</definedName>
    <definedName name="_xlnm.Print_Area" localSheetId="17">'MDT Tri RELEVE TOT  99'!$A$1:$K$74</definedName>
    <definedName name="_xlnm.Print_Area" localSheetId="18">'MDT Tri ROULEAUX'!$A$1:$I$70</definedName>
    <definedName name="_xlnm.Print_Area" localSheetId="19">'MDT Tri VIBRATEUR'!$A$1:$I$70</definedName>
    <definedName name="_xlnm.Print_Area" localSheetId="4">'Mixt&amp;Batt.mars 99 SKI (2)'!$A$1:$O$42</definedName>
    <definedName name="_xlnm.Print_Area" localSheetId="21">'Remettants mars 99'!$A$1:$AH$67</definedName>
  </definedNames>
  <calcPr fullCalcOnLoad="1"/>
  <oleSize ref="A1:H29"/>
</workbook>
</file>

<file path=xl/comments14.xml><?xml version="1.0" encoding="utf-8"?>
<comments xmlns="http://schemas.openxmlformats.org/spreadsheetml/2006/main">
  <authors>
    <author>Kitenge Somw?</author>
  </authors>
  <commentList>
    <comment ref="L25" authorId="0">
      <text>
        <r>
          <rPr>
            <b/>
            <sz val="8"/>
            <rFont val="Tahoma"/>
            <family val="0"/>
          </rPr>
          <t>Kitenge Somwé:</t>
        </r>
        <r>
          <rPr>
            <sz val="8"/>
            <rFont val="Tahoma"/>
            <family val="0"/>
          </rPr>
          <t xml:space="preserve">
Env 16 tonnes MDT Sem.48</t>
        </r>
      </text>
    </comment>
    <comment ref="K25" authorId="0">
      <text>
        <r>
          <rPr>
            <b/>
            <sz val="8"/>
            <rFont val="Tahoma"/>
            <family val="0"/>
          </rPr>
          <t>Kitenge Somwé:</t>
        </r>
        <r>
          <rPr>
            <sz val="8"/>
            <rFont val="Tahoma"/>
            <family val="0"/>
          </rPr>
          <t xml:space="preserve">
Silo: env 2 t</t>
        </r>
      </text>
    </comment>
    <comment ref="F7" authorId="0">
      <text>
        <r>
          <rPr>
            <b/>
            <sz val="8"/>
            <rFont val="Tahoma"/>
            <family val="0"/>
          </rPr>
          <t>Kitenge Somwé:</t>
        </r>
        <r>
          <rPr>
            <sz val="8"/>
            <rFont val="Tahoma"/>
            <family val="0"/>
          </rPr>
          <t xml:space="preserve">
Att!formule =D7+K6-K7</t>
        </r>
      </text>
    </comment>
    <comment ref="C41" authorId="0">
      <text>
        <r>
          <rPr>
            <b/>
            <sz val="8"/>
            <rFont val="Tahoma"/>
            <family val="0"/>
          </rPr>
          <t>Kitenge Somwé:</t>
        </r>
        <r>
          <rPr>
            <sz val="8"/>
            <rFont val="Tahoma"/>
            <family val="0"/>
          </rPr>
          <t xml:space="preserve">
Entrées CH plus SIRA
</t>
        </r>
      </text>
    </comment>
  </commentList>
</comments>
</file>

<file path=xl/comments15.xml><?xml version="1.0" encoding="utf-8"?>
<comments xmlns="http://schemas.openxmlformats.org/spreadsheetml/2006/main">
  <authors>
    <author>Kitenge Somw?</author>
  </authors>
  <commentList>
    <comment ref="L25" authorId="0">
      <text>
        <r>
          <rPr>
            <b/>
            <sz val="8"/>
            <rFont val="Tahoma"/>
            <family val="0"/>
          </rPr>
          <t>Kitenge Somwé:</t>
        </r>
        <r>
          <rPr>
            <sz val="8"/>
            <rFont val="Tahoma"/>
            <family val="0"/>
          </rPr>
          <t xml:space="preserve">
Env 16 tonnes MDT Sem.48</t>
        </r>
      </text>
    </comment>
    <comment ref="K25" authorId="0">
      <text>
        <r>
          <rPr>
            <b/>
            <sz val="8"/>
            <rFont val="Tahoma"/>
            <family val="0"/>
          </rPr>
          <t>Kitenge Somwé:</t>
        </r>
        <r>
          <rPr>
            <sz val="8"/>
            <rFont val="Tahoma"/>
            <family val="0"/>
          </rPr>
          <t xml:space="preserve">
Silo: env 2 t</t>
        </r>
      </text>
    </comment>
    <comment ref="F7" authorId="0">
      <text>
        <r>
          <rPr>
            <b/>
            <sz val="8"/>
            <rFont val="Tahoma"/>
            <family val="0"/>
          </rPr>
          <t>Kitenge Somwé:</t>
        </r>
        <r>
          <rPr>
            <sz val="8"/>
            <rFont val="Tahoma"/>
            <family val="0"/>
          </rPr>
          <t xml:space="preserve">
Att!formule =D7+K6-K7</t>
        </r>
      </text>
    </comment>
    <comment ref="C41" authorId="0">
      <text>
        <r>
          <rPr>
            <b/>
            <sz val="8"/>
            <rFont val="Tahoma"/>
            <family val="0"/>
          </rPr>
          <t>Kitenge Somwé:</t>
        </r>
        <r>
          <rPr>
            <sz val="8"/>
            <rFont val="Tahoma"/>
            <family val="0"/>
          </rPr>
          <t xml:space="preserve">
Entrées CH plus SIRA
</t>
        </r>
      </text>
    </comment>
  </commentList>
</comments>
</file>

<file path=xl/comments16.xml><?xml version="1.0" encoding="utf-8"?>
<comments xmlns="http://schemas.openxmlformats.org/spreadsheetml/2006/main">
  <authors>
    <author>Kitenge Somw?</author>
  </authors>
  <commentList>
    <comment ref="L25" authorId="0">
      <text>
        <r>
          <rPr>
            <b/>
            <sz val="8"/>
            <rFont val="Tahoma"/>
            <family val="0"/>
          </rPr>
          <t>Kitenge Somwé:</t>
        </r>
        <r>
          <rPr>
            <sz val="8"/>
            <rFont val="Tahoma"/>
            <family val="0"/>
          </rPr>
          <t xml:space="preserve">
Env 16 tonnes MDT Sem.48</t>
        </r>
      </text>
    </comment>
    <comment ref="K25" authorId="0">
      <text>
        <r>
          <rPr>
            <b/>
            <sz val="8"/>
            <rFont val="Tahoma"/>
            <family val="0"/>
          </rPr>
          <t>Kitenge Somwé:</t>
        </r>
        <r>
          <rPr>
            <sz val="8"/>
            <rFont val="Tahoma"/>
            <family val="0"/>
          </rPr>
          <t xml:space="preserve">
Silo: env 2 t</t>
        </r>
      </text>
    </comment>
    <comment ref="F7" authorId="0">
      <text>
        <r>
          <rPr>
            <b/>
            <sz val="8"/>
            <rFont val="Tahoma"/>
            <family val="0"/>
          </rPr>
          <t>Kitenge Somwé:</t>
        </r>
        <r>
          <rPr>
            <sz val="8"/>
            <rFont val="Tahoma"/>
            <family val="0"/>
          </rPr>
          <t xml:space="preserve">
Att!formule =D7+K6-K7</t>
        </r>
      </text>
    </comment>
    <comment ref="C41" authorId="0">
      <text>
        <r>
          <rPr>
            <b/>
            <sz val="8"/>
            <rFont val="Tahoma"/>
            <family val="0"/>
          </rPr>
          <t>Kitenge Somwé:</t>
        </r>
        <r>
          <rPr>
            <sz val="8"/>
            <rFont val="Tahoma"/>
            <family val="0"/>
          </rPr>
          <t xml:space="preserve">
Entrées CH plus SIRA
</t>
        </r>
      </text>
    </comment>
  </commentList>
</comments>
</file>

<file path=xl/comments17.xml><?xml version="1.0" encoding="utf-8"?>
<comments xmlns="http://schemas.openxmlformats.org/spreadsheetml/2006/main">
  <authors>
    <author>Kitenge Somw?</author>
  </authors>
  <commentList>
    <comment ref="L25" authorId="0">
      <text>
        <r>
          <rPr>
            <b/>
            <sz val="8"/>
            <rFont val="Tahoma"/>
            <family val="0"/>
          </rPr>
          <t>Kitenge Somwé:</t>
        </r>
        <r>
          <rPr>
            <sz val="8"/>
            <rFont val="Tahoma"/>
            <family val="0"/>
          </rPr>
          <t xml:space="preserve">
Env 16 tonnes MDT Sem.48</t>
        </r>
      </text>
    </comment>
    <comment ref="K25" authorId="0">
      <text>
        <r>
          <rPr>
            <b/>
            <sz val="8"/>
            <rFont val="Tahoma"/>
            <family val="0"/>
          </rPr>
          <t>Kitenge Somwé:</t>
        </r>
        <r>
          <rPr>
            <sz val="8"/>
            <rFont val="Tahoma"/>
            <family val="0"/>
          </rPr>
          <t xml:space="preserve">
Silo: env 2 t</t>
        </r>
      </text>
    </comment>
    <comment ref="F7" authorId="0">
      <text>
        <r>
          <rPr>
            <b/>
            <sz val="8"/>
            <rFont val="Tahoma"/>
            <family val="0"/>
          </rPr>
          <t>Kitenge Somwé:</t>
        </r>
        <r>
          <rPr>
            <sz val="8"/>
            <rFont val="Tahoma"/>
            <family val="0"/>
          </rPr>
          <t xml:space="preserve">
Att!formule =D7+K6-K7</t>
        </r>
      </text>
    </comment>
    <comment ref="C41" authorId="0">
      <text>
        <r>
          <rPr>
            <b/>
            <sz val="8"/>
            <rFont val="Tahoma"/>
            <family val="0"/>
          </rPr>
          <t>Kitenge Somwé:</t>
        </r>
        <r>
          <rPr>
            <sz val="8"/>
            <rFont val="Tahoma"/>
            <family val="0"/>
          </rPr>
          <t xml:space="preserve">
Entrées CH plus SIRA
</t>
        </r>
      </text>
    </comment>
  </commentList>
</comments>
</file>

<file path=xl/comments2.xml><?xml version="1.0" encoding="utf-8"?>
<comments xmlns="http://schemas.openxmlformats.org/spreadsheetml/2006/main">
  <authors>
    <author>Kitenge Somw?</author>
  </authors>
  <commentList>
    <comment ref="D1" authorId="0">
      <text>
        <r>
          <rPr>
            <b/>
            <sz val="8"/>
            <rFont val="Tahoma"/>
            <family val="0"/>
          </rPr>
          <t xml:space="preserve">Kitenge Somwé:entrées = SIRA plus CH 
</t>
        </r>
        <r>
          <rPr>
            <sz val="8"/>
            <rFont val="Tahoma"/>
            <family val="0"/>
          </rPr>
          <t xml:space="preserve">
</t>
        </r>
      </text>
    </comment>
    <comment ref="I18" authorId="0">
      <text>
        <r>
          <rPr>
            <b/>
            <i/>
            <sz val="8"/>
            <rFont val="Tahoma"/>
            <family val="2"/>
          </rPr>
          <t>Kitenge Somwé:</t>
        </r>
        <r>
          <rPr>
            <i/>
            <sz val="8"/>
            <rFont val="Tahoma"/>
            <family val="2"/>
          </rPr>
          <t xml:space="preserve">
</t>
        </r>
        <r>
          <rPr>
            <i/>
            <u val="single"/>
            <sz val="8"/>
            <rFont val="Tahoma"/>
            <family val="2"/>
          </rPr>
          <t>Uniquement SIRA</t>
        </r>
      </text>
    </comment>
  </commentList>
</comments>
</file>

<file path=xl/comments21.xml><?xml version="1.0" encoding="utf-8"?>
<comments xmlns="http://schemas.openxmlformats.org/spreadsheetml/2006/main">
  <authors>
    <author>Kitenge Somw?</author>
  </authors>
  <commentList>
    <comment ref="I7" authorId="0">
      <text>
        <r>
          <rPr>
            <b/>
            <sz val="8"/>
            <rFont val="Tahoma"/>
            <family val="0"/>
          </rPr>
          <t>Kitenge Somwé:</t>
        </r>
        <r>
          <rPr>
            <sz val="8"/>
            <rFont val="Tahoma"/>
            <family val="0"/>
          </rPr>
          <t xml:space="preserve">
AU TRI=1ère sortie de la semaine 34
</t>
        </r>
      </text>
    </comment>
    <comment ref="D2" authorId="0">
      <text>
        <r>
          <rPr>
            <b/>
            <sz val="8"/>
            <rFont val="Tahoma"/>
            <family val="0"/>
          </rPr>
          <t>Kitenge Somwé:</t>
        </r>
        <r>
          <rPr>
            <sz val="8"/>
            <rFont val="Tahoma"/>
            <family val="0"/>
          </rPr>
          <t xml:space="preserve">
chAvcé sortie pour pesée
lundi 10/08/98 OK.</t>
        </r>
      </text>
    </comment>
    <comment ref="L10" authorId="0">
      <text>
        <r>
          <rPr>
            <b/>
            <sz val="8"/>
            <rFont val="Tahoma"/>
            <family val="0"/>
          </rPr>
          <t>Kitenge Somwé:</t>
        </r>
        <r>
          <rPr>
            <sz val="8"/>
            <rFont val="Tahoma"/>
            <family val="0"/>
          </rPr>
          <t xml:space="preserve">
N° 1=584
N°2 = 618
Total=  1202</t>
        </r>
      </text>
    </comment>
    <comment ref="O11" authorId="0">
      <text>
        <r>
          <rPr>
            <b/>
            <sz val="8"/>
            <rFont val="Tahoma"/>
            <family val="0"/>
          </rPr>
          <t>Kitenge Somwé:</t>
        </r>
        <r>
          <rPr>
            <sz val="8"/>
            <rFont val="Tahoma"/>
            <family val="0"/>
          </rPr>
          <t xml:space="preserve">
Ch rajouté pous trémie Vibrateur.</t>
        </r>
      </text>
    </comment>
    <comment ref="I21" authorId="0">
      <text>
        <r>
          <rPr>
            <b/>
            <sz val="8"/>
            <rFont val="Tahoma"/>
            <family val="0"/>
          </rPr>
          <t>Kitenge Somwé:</t>
        </r>
        <r>
          <rPr>
            <sz val="8"/>
            <rFont val="Tahoma"/>
            <family val="0"/>
          </rPr>
          <t xml:space="preserve">
Avancé sortie jeudi 20/08/98</t>
        </r>
      </text>
    </comment>
    <comment ref="L19" authorId="0">
      <text>
        <r>
          <rPr>
            <b/>
            <sz val="8"/>
            <rFont val="Tahoma"/>
            <family val="0"/>
          </rPr>
          <t>Kitenge Somwé:</t>
        </r>
        <r>
          <rPr>
            <sz val="8"/>
            <rFont val="Tahoma"/>
            <family val="0"/>
          </rPr>
          <t xml:space="preserve">
N° 31</t>
        </r>
      </text>
    </comment>
    <comment ref="I27" authorId="0">
      <text>
        <r>
          <rPr>
            <b/>
            <sz val="8"/>
            <rFont val="Tahoma"/>
            <family val="0"/>
          </rPr>
          <t>Kitenge Somwé:</t>
        </r>
        <r>
          <rPr>
            <sz val="8"/>
            <rFont val="Tahoma"/>
            <family val="0"/>
          </rPr>
          <t xml:space="preserve">
RT Jeudi 27/08/98</t>
        </r>
      </text>
    </comment>
    <comment ref="J27" authorId="0">
      <text>
        <r>
          <rPr>
            <b/>
            <sz val="8"/>
            <rFont val="Tahoma"/>
            <family val="0"/>
          </rPr>
          <t>Kitenge Somwé:</t>
        </r>
        <r>
          <rPr>
            <sz val="8"/>
            <rFont val="Tahoma"/>
            <family val="0"/>
          </rPr>
          <t xml:space="preserve">
Jeudi
</t>
        </r>
      </text>
    </comment>
  </commentList>
</comments>
</file>

<file path=xl/comments22.xml><?xml version="1.0" encoding="utf-8"?>
<comments xmlns="http://schemas.openxmlformats.org/spreadsheetml/2006/main">
  <authors>
    <author>Kitenge Somw?</author>
  </authors>
  <commentList>
    <comment ref="E1" authorId="0">
      <text>
        <r>
          <rPr>
            <b/>
            <sz val="8"/>
            <rFont val="Tahoma"/>
            <family val="0"/>
          </rPr>
          <t>Kitenge Somwé:</t>
        </r>
        <r>
          <rPr>
            <sz val="8"/>
            <rFont val="Tahoma"/>
            <family val="0"/>
          </rPr>
          <t xml:space="preserve">
Définition; Lood= Batterie</t>
        </r>
      </text>
    </comment>
  </commentList>
</comments>
</file>

<file path=xl/comments4.xml><?xml version="1.0" encoding="utf-8"?>
<comments xmlns="http://schemas.openxmlformats.org/spreadsheetml/2006/main">
  <authors>
    <author>Kitenge Somw?</author>
  </authors>
  <commentList>
    <comment ref="F13" authorId="0">
      <text>
        <r>
          <rPr>
            <b/>
            <sz val="8"/>
            <rFont val="Tahoma"/>
            <family val="0"/>
          </rPr>
          <t>Kitenge Somwé:</t>
        </r>
        <r>
          <rPr>
            <sz val="8"/>
            <rFont val="Tahoma"/>
            <family val="0"/>
          </rPr>
          <t xml:space="preserve">
Différence TerreFiltrePress</t>
        </r>
      </text>
    </comment>
    <comment ref="F6" authorId="0">
      <text>
        <r>
          <rPr>
            <b/>
            <sz val="8"/>
            <rFont val="Tahoma"/>
            <family val="0"/>
          </rPr>
          <t>Kitenge Somwé:</t>
        </r>
        <r>
          <rPr>
            <sz val="8"/>
            <rFont val="Tahoma"/>
            <family val="0"/>
          </rPr>
          <t xml:space="preserve">
Déduire Résé,Plomb,Ni-Cd etc</t>
        </r>
      </text>
    </comment>
    <comment ref="B6" authorId="0">
      <text>
        <r>
          <rPr>
            <b/>
            <sz val="8"/>
            <rFont val="Tahoma"/>
            <family val="0"/>
          </rPr>
          <t>Kitenge Somwé:</t>
        </r>
        <r>
          <rPr>
            <sz val="8"/>
            <rFont val="Tahoma"/>
            <family val="0"/>
          </rPr>
          <t xml:space="preserve">
Déduire Batt.Clôture</t>
        </r>
      </text>
    </comment>
  </commentList>
</comments>
</file>

<file path=xl/comments5.xml><?xml version="1.0" encoding="utf-8"?>
<comments xmlns="http://schemas.openxmlformats.org/spreadsheetml/2006/main">
  <authors>
    <author>Kitenge Somw?</author>
  </authors>
  <commentList>
    <comment ref="D33" authorId="0">
      <text>
        <r>
          <rPr>
            <b/>
            <sz val="8"/>
            <rFont val="Tahoma"/>
            <family val="0"/>
          </rPr>
          <t>Kitenge Somwé:</t>
        </r>
        <r>
          <rPr>
            <sz val="8"/>
            <rFont val="Tahoma"/>
            <family val="0"/>
          </rPr>
          <t xml:space="preserve">
Déduire sur client Ch : env. 69 Kg via B3 Bleiker </t>
        </r>
      </text>
    </comment>
  </commentList>
</comments>
</file>

<file path=xl/comments6.xml><?xml version="1.0" encoding="utf-8"?>
<comments xmlns="http://schemas.openxmlformats.org/spreadsheetml/2006/main">
  <authors>
    <author>Kitenge Somw?</author>
  </authors>
  <commentList>
    <comment ref="M6" authorId="0">
      <text>
        <r>
          <rPr>
            <b/>
            <sz val="8"/>
            <rFont val="Tahoma"/>
            <family val="0"/>
          </rPr>
          <t>Kitenge Somwé:</t>
        </r>
        <r>
          <rPr>
            <sz val="8"/>
            <rFont val="Tahoma"/>
            <family val="0"/>
          </rPr>
          <t xml:space="preserve">
Rt en 85 kg via Sira charger Vpz
</t>
        </r>
      </text>
    </comment>
    <comment ref="B13" authorId="0">
      <text>
        <r>
          <rPr>
            <b/>
            <sz val="8"/>
            <rFont val="Tahoma"/>
            <family val="0"/>
          </rPr>
          <t>Kitenge Somwé:</t>
        </r>
        <r>
          <rPr>
            <sz val="8"/>
            <rFont val="Tahoma"/>
            <family val="0"/>
          </rPr>
          <t xml:space="preserve">
Preneur :Metal BLANC
Rue Pasteur
Bourg-Fidèle
F-08230 ROCROI</t>
        </r>
      </text>
    </comment>
    <comment ref="B14" authorId="0">
      <text>
        <r>
          <rPr>
            <b/>
            <sz val="8"/>
            <rFont val="Tahoma"/>
            <family val="0"/>
          </rPr>
          <t>KitengeSomwé:</t>
        </r>
        <r>
          <rPr>
            <sz val="8"/>
            <rFont val="Tahoma"/>
            <family val="0"/>
          </rPr>
          <t xml:space="preserve">
Expédition du Jeudi 27/08/98</t>
        </r>
      </text>
    </comment>
    <comment ref="B4" authorId="0">
      <text>
        <r>
          <rPr>
            <b/>
            <sz val="8"/>
            <rFont val="Tahoma"/>
            <family val="0"/>
          </rPr>
          <t>Kitenge Somwé:</t>
        </r>
        <r>
          <rPr>
            <sz val="8"/>
            <rFont val="Tahoma"/>
            <family val="0"/>
          </rPr>
          <t xml:space="preserve">
Lcl
</t>
        </r>
      </text>
    </comment>
    <comment ref="B5" authorId="0">
      <text>
        <r>
          <rPr>
            <b/>
            <sz val="8"/>
            <rFont val="Tahoma"/>
            <family val="0"/>
          </rPr>
          <t>Kitenge Somwé:</t>
        </r>
        <r>
          <rPr>
            <sz val="8"/>
            <rFont val="Tahoma"/>
            <family val="0"/>
          </rPr>
          <t xml:space="preserve">
Recymet</t>
        </r>
      </text>
    </comment>
    <comment ref="B6" authorId="0">
      <text>
        <r>
          <rPr>
            <b/>
            <sz val="8"/>
            <rFont val="Tahoma"/>
            <family val="0"/>
          </rPr>
          <t>Kitenge Somwé:</t>
        </r>
        <r>
          <rPr>
            <sz val="8"/>
            <rFont val="Tahoma"/>
            <family val="0"/>
          </rPr>
          <t xml:space="preserve">
Recymet</t>
        </r>
      </text>
    </comment>
  </commentList>
</comments>
</file>

<file path=xl/comments8.xml><?xml version="1.0" encoding="utf-8"?>
<comments xmlns="http://schemas.openxmlformats.org/spreadsheetml/2006/main">
  <authors>
    <author>Kitenge Somw?</author>
  </authors>
  <commentList>
    <comment ref="I27" authorId="0">
      <text>
        <r>
          <rPr>
            <b/>
            <sz val="8"/>
            <rFont val="Tahoma"/>
            <family val="0"/>
          </rPr>
          <t>Kitenge Somwé:</t>
        </r>
        <r>
          <rPr>
            <sz val="8"/>
            <rFont val="Tahoma"/>
            <family val="0"/>
          </rPr>
          <t xml:space="preserve">
RT Jeudi 27/08/98</t>
        </r>
      </text>
    </comment>
    <comment ref="J27" authorId="0">
      <text>
        <r>
          <rPr>
            <b/>
            <sz val="8"/>
            <rFont val="Tahoma"/>
            <family val="0"/>
          </rPr>
          <t>Kitenge Somwé:</t>
        </r>
        <r>
          <rPr>
            <sz val="8"/>
            <rFont val="Tahoma"/>
            <family val="0"/>
          </rPr>
          <t xml:space="preserve">
Jeudi
</t>
        </r>
      </text>
    </comment>
    <comment ref="D12" authorId="0">
      <text>
        <r>
          <rPr>
            <b/>
            <sz val="8"/>
            <rFont val="Tahoma"/>
            <family val="0"/>
          </rPr>
          <t>Kitenge Somwé:</t>
        </r>
        <r>
          <rPr>
            <sz val="8"/>
            <rFont val="Tahoma"/>
            <family val="0"/>
          </rPr>
          <t xml:space="preserve">
Via Sira avec mixtes au fond</t>
        </r>
      </text>
    </comment>
  </commentList>
</comments>
</file>

<file path=xl/sharedStrings.xml><?xml version="1.0" encoding="utf-8"?>
<sst xmlns="http://schemas.openxmlformats.org/spreadsheetml/2006/main" count="2508" uniqueCount="1216">
  <si>
    <t>Sem</t>
  </si>
  <si>
    <t>Van Peperzeel W.A. B.V.</t>
  </si>
  <si>
    <t>TOTAUX</t>
  </si>
  <si>
    <t>date</t>
  </si>
  <si>
    <t>BordN°</t>
  </si>
  <si>
    <t>Cridec</t>
  </si>
  <si>
    <t>solde</t>
  </si>
  <si>
    <t>TOTAUX PAR REMETTANT :</t>
  </si>
  <si>
    <t xml:space="preserve">Recymet     1123   Aclens </t>
  </si>
  <si>
    <r>
      <t xml:space="preserve">         </t>
    </r>
    <r>
      <rPr>
        <sz val="18"/>
        <rFont val="MS Sans Serif"/>
        <family val="2"/>
      </rPr>
      <t>G</t>
    </r>
    <r>
      <rPr>
        <sz val="14"/>
        <rFont val="MS Sans Serif"/>
        <family val="2"/>
      </rPr>
      <t>EST</t>
    </r>
    <r>
      <rPr>
        <sz val="18"/>
        <rFont val="MS Sans Serif"/>
        <family val="2"/>
      </rPr>
      <t>OS</t>
    </r>
    <r>
      <rPr>
        <sz val="14"/>
        <rFont val="MS Sans Serif"/>
        <family val="2"/>
      </rPr>
      <t xml:space="preserve">TOCK                                                </t>
    </r>
  </si>
  <si>
    <t>INVENTAIRE MENSUEL</t>
  </si>
  <si>
    <t>A 1  A 2</t>
  </si>
  <si>
    <t xml:space="preserve">MIXTES , BATTERIES ET RESERVE </t>
  </si>
  <si>
    <t>S.Kitenge  Ghu</t>
  </si>
  <si>
    <t>Piles MIXTES M.D.T.silo</t>
  </si>
  <si>
    <t>Reserve pr/silo triées</t>
  </si>
  <si>
    <t>15 V. Afr (cubique) silo</t>
  </si>
  <si>
    <t>D.Hg Afr (cylindrique) silo</t>
  </si>
  <si>
    <t>TOTAL MIXTES A 1</t>
  </si>
  <si>
    <t>Batteries Arsenal(Caisses</t>
  </si>
  <si>
    <t>Batteries Arsenal(Big-Bag</t>
  </si>
  <si>
    <t>TOTAL BATTERIES B 2</t>
  </si>
  <si>
    <t>Batt.Structure métallique</t>
  </si>
  <si>
    <t>Batt.Salines Verre</t>
  </si>
  <si>
    <t>TOTAL FEUILLE :</t>
  </si>
  <si>
    <t>C 1  C 2</t>
  </si>
  <si>
    <t>SELS,Hg liquide,POUSS.BOUTONS</t>
  </si>
  <si>
    <t>Solutions Hg liquide</t>
  </si>
  <si>
    <t>Thermomètres Hg</t>
  </si>
  <si>
    <t>Contacteurs Hg (verre)</t>
  </si>
  <si>
    <t>Produits Pharma.périmés</t>
  </si>
  <si>
    <t>Sels de mercure</t>
  </si>
  <si>
    <t xml:space="preserve">TOTAL Hg,sels  C 1 </t>
  </si>
  <si>
    <t>Oxyde de ZINC</t>
  </si>
  <si>
    <t>Boue d'hydroxyde métalque</t>
  </si>
  <si>
    <t>Oxyde de Manganèse</t>
  </si>
  <si>
    <t>Poudre d'oxyde mercure</t>
  </si>
  <si>
    <t>Terre souillée</t>
  </si>
  <si>
    <t>Déchets TRI divers</t>
  </si>
  <si>
    <t>Poussière Boutons,3 A</t>
  </si>
  <si>
    <t>TOTAL Pouss,Boutons  C 2</t>
  </si>
  <si>
    <t>Piles BOUTONS Hg</t>
  </si>
  <si>
    <t>Piles Boutons ZincAir</t>
  </si>
  <si>
    <t>TOTAL</t>
  </si>
  <si>
    <t>Feuille 1</t>
  </si>
  <si>
    <t>Feuille 2</t>
  </si>
  <si>
    <t>Feuille 3</t>
  </si>
  <si>
    <t xml:space="preserve">TOTAL FEUILLE  : </t>
  </si>
  <si>
    <t>Recymet  1123-Aclens</t>
  </si>
  <si>
    <t>B 1  B 2</t>
  </si>
  <si>
    <t>ACCUMULATEURS ET RESE</t>
  </si>
  <si>
    <t>Ni-Cd PACK</t>
  </si>
  <si>
    <t>Ni-Cd Monocells</t>
  </si>
  <si>
    <t>Ni-Cd Batterie Industrielle</t>
  </si>
  <si>
    <t>Total  Nickel Cadmium</t>
  </si>
  <si>
    <t>Piles au LITHIUM</t>
  </si>
  <si>
    <t>Pack in</t>
  </si>
  <si>
    <t>Monocell in</t>
  </si>
  <si>
    <t>Batt.indust in</t>
  </si>
  <si>
    <t xml:space="preserve">TOTAL Accu  B 1 </t>
  </si>
  <si>
    <t>Accumulat. au PLOMBS</t>
  </si>
  <si>
    <t>Condensateurs</t>
  </si>
  <si>
    <t>Relais au mercure</t>
  </si>
  <si>
    <t>RESE  5</t>
  </si>
  <si>
    <t>RESE  6</t>
  </si>
  <si>
    <t>RESE  7</t>
  </si>
  <si>
    <t>RESE  8</t>
  </si>
  <si>
    <t>TOTAL  Résé  B 2</t>
  </si>
  <si>
    <t>RESE 10</t>
  </si>
  <si>
    <t>RESE 10  Z</t>
  </si>
  <si>
    <t>RESE  11</t>
  </si>
  <si>
    <t>6 V</t>
  </si>
  <si>
    <t>Bat.arsenal</t>
  </si>
  <si>
    <t>Batt Clôture</t>
  </si>
  <si>
    <t>Bat.struct.métal</t>
  </si>
  <si>
    <t>Alcaline verre</t>
  </si>
  <si>
    <t>Lithium</t>
  </si>
  <si>
    <t>Relais</t>
  </si>
  <si>
    <t>Ni-Cd Pack</t>
  </si>
  <si>
    <t>Ni-Cd Mono</t>
  </si>
  <si>
    <t>Ni-Cd Bat.Ind</t>
  </si>
  <si>
    <t>Accu Plombs</t>
  </si>
  <si>
    <t>Piles Bout.Hg</t>
  </si>
  <si>
    <t>Poussièr Trémies Cyclône</t>
  </si>
  <si>
    <t>Poussièr Silo (noire)</t>
  </si>
  <si>
    <t>Thermomètre Hg</t>
  </si>
  <si>
    <t>Condnsat</t>
  </si>
  <si>
    <t>métaux poubelle cartons</t>
  </si>
  <si>
    <t>Totaux CH/VPZ</t>
  </si>
  <si>
    <t xml:space="preserve"> VPZ Sem</t>
  </si>
  <si>
    <t>Vpz Total Hebdo</t>
  </si>
  <si>
    <t>Total mois</t>
  </si>
  <si>
    <t>tot VPZ</t>
  </si>
  <si>
    <t>tot CH</t>
  </si>
  <si>
    <t>tot.Gén.:</t>
  </si>
  <si>
    <t>Mois et semaine</t>
  </si>
  <si>
    <t xml:space="preserve">Nom du remettant </t>
  </si>
  <si>
    <t xml:space="preserve">Quantité initial </t>
  </si>
  <si>
    <t>Entrée du remettant</t>
  </si>
  <si>
    <t>Total intermédiaire</t>
  </si>
  <si>
    <t>MDT</t>
  </si>
  <si>
    <t>RT</t>
  </si>
  <si>
    <t>Total reporté</t>
  </si>
  <si>
    <t>VPZ</t>
  </si>
  <si>
    <t>TOTAUX EN SILO :</t>
  </si>
  <si>
    <t>Mis en SILO Net</t>
  </si>
  <si>
    <t>tot MDT</t>
  </si>
  <si>
    <t>tot RT</t>
  </si>
  <si>
    <t>TotSilo</t>
  </si>
  <si>
    <t>Mixtes</t>
  </si>
  <si>
    <t>tot.MxtSilo</t>
  </si>
  <si>
    <t>Mois</t>
  </si>
  <si>
    <t>Lot N°</t>
  </si>
  <si>
    <t>Quantité reçue</t>
  </si>
  <si>
    <t>Flux  rotation de l'exercice</t>
  </si>
  <si>
    <t>Sortie MDT Mise à Disposition Triage Vpz</t>
  </si>
  <si>
    <t>RT Réduction du Tri Vpz</t>
  </si>
  <si>
    <t>QRT (Quantité Résultante du Tri)</t>
  </si>
  <si>
    <t>CUMUL Vpz Silo</t>
  </si>
  <si>
    <t>Solde reporté</t>
  </si>
  <si>
    <t>Totaux Vpz, CH</t>
  </si>
  <si>
    <t>Résé,6 V</t>
  </si>
  <si>
    <t>Remarques</t>
  </si>
  <si>
    <t>lot N° 1 reçu</t>
  </si>
  <si>
    <t>le 25/11/97</t>
  </si>
  <si>
    <t>Somme nov.97</t>
  </si>
  <si>
    <t>Pas de prod</t>
  </si>
  <si>
    <t>sur Vpz en</t>
  </si>
  <si>
    <t>Nov97.</t>
  </si>
  <si>
    <t>In Silo Nov :</t>
  </si>
  <si>
    <t xml:space="preserve"> </t>
  </si>
  <si>
    <t>Mdt :79919</t>
  </si>
  <si>
    <t>Rt :     6533</t>
  </si>
  <si>
    <t>Somme déc.97</t>
  </si>
  <si>
    <t>Piles CH</t>
  </si>
  <si>
    <t>Somme janv.98</t>
  </si>
  <si>
    <t>Somme févr.98</t>
  </si>
  <si>
    <t>Totaux Recymet</t>
  </si>
  <si>
    <t>CH , Vpz 1998</t>
  </si>
  <si>
    <t>Somme mars.98</t>
  </si>
  <si>
    <t>Total</t>
  </si>
  <si>
    <t>Stock initial</t>
  </si>
  <si>
    <t>Entrée Vpz</t>
  </si>
  <si>
    <t>Entrée CH</t>
  </si>
  <si>
    <t>Total des entrées</t>
  </si>
  <si>
    <t>Sortie MDT Vpz</t>
  </si>
  <si>
    <t>Rt Vpz</t>
  </si>
  <si>
    <t>QRT (quantRésTri) Vpz</t>
  </si>
  <si>
    <t>QRT (quantRésTri) CH</t>
  </si>
  <si>
    <t>Total sortie SILO</t>
  </si>
  <si>
    <t>ResultatSILO intégral</t>
  </si>
  <si>
    <t>NET SILO</t>
  </si>
  <si>
    <t>Amstutz</t>
  </si>
  <si>
    <t>arsenal</t>
  </si>
  <si>
    <t>Stock Brut</t>
  </si>
  <si>
    <t>tot.Arsen.Silo</t>
  </si>
  <si>
    <t>toutes les matières</t>
  </si>
  <si>
    <t>CH</t>
  </si>
  <si>
    <t>TOTAUX Mixtes,CH Vpz</t>
  </si>
  <si>
    <r>
      <t xml:space="preserve">Total </t>
    </r>
    <r>
      <rPr>
        <sz val="8"/>
        <rFont val="Arial"/>
        <family val="2"/>
      </rPr>
      <t>Vpz</t>
    </r>
  </si>
  <si>
    <t>déchets</t>
  </si>
  <si>
    <t>FLUX DE ROTATION TOTAL DES ENTREES ET SORTIES</t>
  </si>
  <si>
    <t>P. Mixtes</t>
  </si>
  <si>
    <t>Entrées</t>
  </si>
  <si>
    <t>SORTIE</t>
  </si>
  <si>
    <t>Sortie</t>
  </si>
  <si>
    <t>Déchets</t>
  </si>
  <si>
    <t>Totaux</t>
  </si>
  <si>
    <t>des entrées</t>
  </si>
  <si>
    <t>des sorties</t>
  </si>
  <si>
    <t>de Tri</t>
  </si>
  <si>
    <t>CALCUL DU MOUVEMENT</t>
  </si>
  <si>
    <t>(mois précédent)</t>
  </si>
  <si>
    <t>S.I.</t>
  </si>
  <si>
    <t>Sorties</t>
  </si>
  <si>
    <t>S.F.inventaire</t>
  </si>
  <si>
    <t>Différence</t>
  </si>
  <si>
    <t>P.Mixtes</t>
  </si>
  <si>
    <t>S.F. Mouvmnt</t>
  </si>
  <si>
    <t>(totaux entrées</t>
  </si>
  <si>
    <t>P. Mixtes)</t>
  </si>
  <si>
    <t>Stock Recymet S.A. 1123 Aclens</t>
  </si>
  <si>
    <t>Batt. Arsenal</t>
  </si>
  <si>
    <t>Somme avr.98</t>
  </si>
  <si>
    <t>6,15v,10z,tartan*</t>
  </si>
  <si>
    <t xml:space="preserve"> (+ tartan*)</t>
  </si>
  <si>
    <t>Bleiker</t>
  </si>
  <si>
    <t>Total par matière:</t>
  </si>
  <si>
    <t>Solde CH</t>
  </si>
  <si>
    <t>Entrée spéciaux</t>
  </si>
  <si>
    <t>Expédition</t>
  </si>
  <si>
    <t>Net Mixtes</t>
  </si>
  <si>
    <t xml:space="preserve">TOTAL BRUT EN SILO </t>
  </si>
  <si>
    <t>Cumul Brut en silo</t>
  </si>
  <si>
    <t>15 V</t>
  </si>
  <si>
    <t>27 V</t>
  </si>
  <si>
    <t>3 Bbg de 600 kg 1,5 V cyl ouverte</t>
  </si>
  <si>
    <t>3 pal de 600 kg 1,5 V fermées</t>
  </si>
  <si>
    <t xml:space="preserve">            total batt.caisses :</t>
  </si>
  <si>
    <t>écart :</t>
  </si>
  <si>
    <t>Somme mai.98</t>
  </si>
  <si>
    <t>Déduction du Solde en Silo</t>
  </si>
  <si>
    <t>report nov.déc.97</t>
  </si>
  <si>
    <t>Total reçus Vpz</t>
  </si>
  <si>
    <t>Décompte SIRA</t>
  </si>
  <si>
    <t>piles triées</t>
  </si>
  <si>
    <t>inclus Vpz =</t>
  </si>
  <si>
    <t>cumul précédent</t>
  </si>
  <si>
    <t>inclus piles CH =</t>
  </si>
  <si>
    <t>inclus SIRA =</t>
  </si>
  <si>
    <t>Solde SIRA</t>
  </si>
  <si>
    <t>Tot.Solde :</t>
  </si>
  <si>
    <t>total net</t>
  </si>
  <si>
    <t>silo</t>
  </si>
  <si>
    <t>Vpz</t>
  </si>
  <si>
    <t>QRT NET SILO CH+Vpz mixtes</t>
  </si>
  <si>
    <t>total Vpz 97/98  =</t>
  </si>
  <si>
    <t>annuel</t>
  </si>
  <si>
    <t>production hebdomadaire</t>
  </si>
  <si>
    <t>Production journalière</t>
  </si>
  <si>
    <t>N°enr</t>
  </si>
  <si>
    <t>TotFr-Ch</t>
  </si>
  <si>
    <t>tot.Gén</t>
  </si>
  <si>
    <t>ReportCH</t>
  </si>
  <si>
    <t>Report Sira</t>
  </si>
  <si>
    <r>
      <t xml:space="preserve">TOTAUX SOLDES  </t>
    </r>
    <r>
      <rPr>
        <sz val="8"/>
        <rFont val="Times New Roman"/>
        <family val="1"/>
      </rPr>
      <t>reporté</t>
    </r>
    <r>
      <rPr>
        <b/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:</t>
    </r>
  </si>
  <si>
    <t>S.i.FR</t>
  </si>
  <si>
    <t>moyPlb</t>
  </si>
  <si>
    <t>moyPk</t>
  </si>
  <si>
    <t>NON triées</t>
  </si>
  <si>
    <t>Entrée Sira</t>
  </si>
  <si>
    <t>CORRECTION,écart</t>
  </si>
  <si>
    <t>15 V ouvertes</t>
  </si>
  <si>
    <t>Débris 15V</t>
  </si>
  <si>
    <t>7,5;1,5V; 6V</t>
  </si>
  <si>
    <t>LOTS</t>
  </si>
  <si>
    <t xml:space="preserve">0 pal de 650 kg : </t>
  </si>
  <si>
    <t>Chiresa</t>
  </si>
  <si>
    <t>P.moy.fût:</t>
  </si>
  <si>
    <t>Détail du solde VPZ</t>
  </si>
  <si>
    <t>sortie MDT tot.BRUT Silo :</t>
  </si>
  <si>
    <t>NET</t>
  </si>
  <si>
    <t>capacité de triage par heure</t>
  </si>
  <si>
    <t>Sortie MDT CH/Sira</t>
  </si>
  <si>
    <t xml:space="preserve">                report product.déc.97:</t>
  </si>
  <si>
    <t>Total reçu</t>
  </si>
  <si>
    <t>MDT Total</t>
  </si>
  <si>
    <t>RT Total</t>
  </si>
  <si>
    <t>Silo TOTAL</t>
  </si>
  <si>
    <t>Solde 30/sept.98</t>
  </si>
  <si>
    <t>nov.97/sept.98</t>
  </si>
  <si>
    <t>déc.97/sept.98</t>
  </si>
  <si>
    <t>écart</t>
  </si>
  <si>
    <t>Stk réel Vpz:</t>
  </si>
  <si>
    <t>RotationCH</t>
  </si>
  <si>
    <t>Nb palettes</t>
  </si>
  <si>
    <t>Entrée CH+Sira</t>
  </si>
  <si>
    <t>CH=</t>
  </si>
  <si>
    <t>SIRA=</t>
  </si>
  <si>
    <t xml:space="preserve">Produit brut </t>
  </si>
  <si>
    <t>Coop</t>
  </si>
  <si>
    <t xml:space="preserve"> SiraTriées</t>
  </si>
  <si>
    <t xml:space="preserve"> Sira Non Triées</t>
  </si>
  <si>
    <t>Stock CH</t>
  </si>
  <si>
    <t>Production</t>
  </si>
  <si>
    <t>Entrée</t>
  </si>
  <si>
    <t>Batt.éclr-clôt.</t>
  </si>
  <si>
    <t>ESR</t>
  </si>
  <si>
    <t>TOTAUX SIRA</t>
  </si>
  <si>
    <t>SIRA</t>
  </si>
  <si>
    <t>Recap</t>
  </si>
  <si>
    <t>FLUX REMETTANTS</t>
  </si>
  <si>
    <t>Bout. Blisters</t>
  </si>
  <si>
    <t>Sortie Triées</t>
  </si>
  <si>
    <t>Sorties NT</t>
  </si>
  <si>
    <t>Totaux des prélèvmnts</t>
  </si>
  <si>
    <t>Tot.initial:</t>
  </si>
  <si>
    <t>Semaine</t>
  </si>
  <si>
    <t>Rep.Interm.</t>
  </si>
  <si>
    <t>MDT TotalBRUT</t>
  </si>
  <si>
    <t>RT Recym</t>
  </si>
  <si>
    <t>SMrcycing</t>
  </si>
  <si>
    <t>S.i</t>
  </si>
  <si>
    <t xml:space="preserve">            Déchets tri-Boutons et Thermomètres</t>
  </si>
  <si>
    <t>Poussière "cyclône"</t>
  </si>
  <si>
    <t>Poussière"Silo" (noire)</t>
  </si>
  <si>
    <t>Alcaline avec rouille</t>
  </si>
  <si>
    <t>Charbon,Zinc,et Grafite</t>
  </si>
  <si>
    <t>Piles Boutons "Blisters"</t>
  </si>
  <si>
    <t>Renata</t>
  </si>
  <si>
    <t>Solde HEBDO BRUT</t>
  </si>
  <si>
    <t>Total SOLDE reporté</t>
  </si>
  <si>
    <t>Divers Remettants</t>
  </si>
  <si>
    <t>Tot siloCH Sem.40</t>
  </si>
  <si>
    <t>SILO Piles CH</t>
  </si>
  <si>
    <t>Total in CH</t>
  </si>
  <si>
    <t>Résé 10 Z</t>
  </si>
  <si>
    <t>tonnes/j</t>
  </si>
  <si>
    <t>sur heures</t>
  </si>
  <si>
    <t>kilos/heure</t>
  </si>
  <si>
    <t>tonnes/j silo</t>
  </si>
  <si>
    <t xml:space="preserve">Prélèvmet SiloSem </t>
  </si>
  <si>
    <t>ReportGlobal-CH/Vpz/Sira</t>
  </si>
  <si>
    <t>Manor</t>
  </si>
  <si>
    <t>Léclanclé</t>
  </si>
  <si>
    <t>Ni-Cd</t>
  </si>
  <si>
    <t>Plombs/Oxyd</t>
  </si>
  <si>
    <t>Total triées</t>
  </si>
  <si>
    <t>Total Non Triées</t>
  </si>
  <si>
    <t>27 v Arsenal</t>
  </si>
  <si>
    <t>De Ski</t>
  </si>
  <si>
    <t>Stock Piles</t>
  </si>
  <si>
    <t>MISE A DISPOSITION TRIAGE DES PILES</t>
  </si>
  <si>
    <t>VIBRATEUR</t>
  </si>
  <si>
    <t>Installation de tri :</t>
  </si>
  <si>
    <r>
      <t xml:space="preserve">Document  </t>
    </r>
    <r>
      <rPr>
        <b/>
        <sz val="10"/>
        <rFont val="Arial"/>
        <family val="2"/>
      </rPr>
      <t>M  D  T</t>
    </r>
  </si>
  <si>
    <t>FR</t>
  </si>
  <si>
    <t>N°</t>
  </si>
  <si>
    <t>Hollande</t>
  </si>
  <si>
    <t>Suisse</t>
  </si>
  <si>
    <t>France</t>
  </si>
  <si>
    <t>Total :</t>
  </si>
  <si>
    <t>Total:</t>
  </si>
  <si>
    <t>Mardi</t>
  </si>
  <si>
    <t>Mercredi</t>
  </si>
  <si>
    <t>Jeudi</t>
  </si>
  <si>
    <t>Vendredi</t>
  </si>
  <si>
    <t>Lundi:</t>
  </si>
  <si>
    <t>Autres matières</t>
  </si>
  <si>
    <t>Produit 1</t>
  </si>
  <si>
    <t>Produit 2</t>
  </si>
  <si>
    <t>Produit 3</t>
  </si>
  <si>
    <t>Produit 4</t>
  </si>
  <si>
    <t>ROULEAUX</t>
  </si>
  <si>
    <t>R</t>
  </si>
  <si>
    <t>S</t>
  </si>
  <si>
    <t>/S</t>
  </si>
  <si>
    <t>/R</t>
  </si>
  <si>
    <t>Reserve</t>
  </si>
  <si>
    <t>Silo</t>
  </si>
  <si>
    <t>VPZ / Vib</t>
  </si>
  <si>
    <t>VPZ / Roulx</t>
  </si>
  <si>
    <t>CH / Vib</t>
  </si>
  <si>
    <t>CH / Roulx</t>
  </si>
  <si>
    <t>FR / Vib</t>
  </si>
  <si>
    <t>FR / Roulx</t>
  </si>
  <si>
    <r>
      <t>TOTAUX des</t>
    </r>
    <r>
      <rPr>
        <b/>
        <sz val="10"/>
        <rFont val="Arial"/>
        <family val="2"/>
      </rPr>
      <t xml:space="preserve"> M</t>
    </r>
    <r>
      <rPr>
        <sz val="10"/>
        <rFont val="Arial"/>
        <family val="0"/>
      </rPr>
      <t>ATIERES</t>
    </r>
    <r>
      <rPr>
        <b/>
        <sz val="10"/>
        <rFont val="Arial"/>
        <family val="2"/>
      </rPr>
      <t xml:space="preserve"> A</t>
    </r>
    <r>
      <rPr>
        <sz val="10"/>
        <rFont val="Arial"/>
        <family val="0"/>
      </rPr>
      <t>NNEXES MIS EN SILO</t>
    </r>
  </si>
  <si>
    <t>Masse Globale en Silo :</t>
  </si>
  <si>
    <t>Remarque sur arrêts techniques</t>
  </si>
  <si>
    <t>Poids</t>
  </si>
  <si>
    <t>Nom</t>
  </si>
  <si>
    <r>
      <t>TOTAL</t>
    </r>
    <r>
      <rPr>
        <b/>
        <sz val="10"/>
        <rFont val="Arial"/>
        <family val="2"/>
      </rPr>
      <t xml:space="preserve"> MDT</t>
    </r>
  </si>
  <si>
    <r>
      <t xml:space="preserve">TOTAL </t>
    </r>
    <r>
      <rPr>
        <b/>
        <sz val="10"/>
        <rFont val="Arial"/>
        <family val="2"/>
      </rPr>
      <t>M .A</t>
    </r>
  </si>
  <si>
    <t>Stesa</t>
  </si>
  <si>
    <t>Silo CH</t>
  </si>
  <si>
    <t>en big-bag</t>
  </si>
  <si>
    <t>Batrec</t>
  </si>
  <si>
    <t>MrVersx</t>
  </si>
  <si>
    <t>Solde</t>
  </si>
  <si>
    <t>prod.de17h à 02h</t>
  </si>
  <si>
    <t>solde à 02h00</t>
  </si>
  <si>
    <t>Balance prod.</t>
  </si>
  <si>
    <t>P.Moy: 980</t>
  </si>
  <si>
    <t>P.Moy: 1230</t>
  </si>
  <si>
    <t xml:space="preserve">SILO </t>
  </si>
  <si>
    <t>en reserve</t>
  </si>
  <si>
    <t>en reserve net</t>
  </si>
  <si>
    <t>Solde en fûts</t>
  </si>
  <si>
    <t>lieu</t>
  </si>
  <si>
    <t>Tri</t>
  </si>
  <si>
    <t>en big-bag annexe</t>
  </si>
  <si>
    <t>Total conditionnement</t>
  </si>
  <si>
    <t>solde en fûts</t>
  </si>
  <si>
    <t>R.T. reduction du tri</t>
  </si>
  <si>
    <t>St Initial</t>
  </si>
  <si>
    <t>tot.sorti</t>
  </si>
  <si>
    <t>Solde pour conditonmt</t>
  </si>
  <si>
    <t>environ</t>
  </si>
  <si>
    <t>20 fûts</t>
  </si>
  <si>
    <t>18 big-bag env.</t>
  </si>
  <si>
    <t xml:space="preserve">STOCK  RECYMET - 1123  ACLENS                                                                                                                                                                                                      </t>
  </si>
  <si>
    <t xml:space="preserve">A  1500                                                     </t>
  </si>
  <si>
    <t>PERIODE:     du  Lundi  02/02/98</t>
  </si>
  <si>
    <t xml:space="preserve">                                       </t>
  </si>
  <si>
    <t xml:space="preserve">                  au :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</si>
  <si>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</si>
  <si>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Stock :  RESERVE/Silo</t>
  </si>
  <si>
    <t>Quant. réd.</t>
  </si>
  <si>
    <t xml:space="preserve">Quant. en </t>
  </si>
  <si>
    <t>BATT</t>
  </si>
  <si>
    <t>piles</t>
  </si>
  <si>
    <t xml:space="preserve">Reserve </t>
  </si>
  <si>
    <t>pr charges</t>
  </si>
  <si>
    <t xml:space="preserve">  silo/en</t>
  </si>
  <si>
    <t>Arsenal</t>
  </si>
  <si>
    <t>spéciaux</t>
  </si>
  <si>
    <t>additionn.</t>
  </si>
  <si>
    <t>En Silo</t>
  </si>
  <si>
    <t>M.D.T</t>
  </si>
  <si>
    <t xml:space="preserve"> R.T</t>
  </si>
  <si>
    <t>Q.R.T</t>
  </si>
  <si>
    <t>en différé</t>
  </si>
  <si>
    <t>temps</t>
  </si>
  <si>
    <t>A. CH</t>
  </si>
  <si>
    <t>Résé</t>
  </si>
  <si>
    <t>"CUMUL</t>
  </si>
  <si>
    <t xml:space="preserve">   réel</t>
  </si>
  <si>
    <t>10 Z</t>
  </si>
  <si>
    <t>Précédent"</t>
  </si>
  <si>
    <t>Sem.</t>
  </si>
  <si>
    <t>S.I</t>
  </si>
  <si>
    <t>E.</t>
  </si>
  <si>
    <t>S.</t>
  </si>
  <si>
    <t>S.F</t>
  </si>
  <si>
    <t>Ch</t>
  </si>
  <si>
    <t>A.  CH</t>
  </si>
  <si>
    <t>Grpages</t>
  </si>
  <si>
    <t>reserve</t>
  </si>
  <si>
    <t xml:space="preserve">     mvmt total "reserve" pour Silo.</t>
  </si>
  <si>
    <t>silo / temps</t>
  </si>
  <si>
    <t>15 v cassées</t>
  </si>
  <si>
    <t>Correction</t>
  </si>
  <si>
    <t>Cumul</t>
  </si>
  <si>
    <t>out Ch</t>
  </si>
  <si>
    <t>out Vpz</t>
  </si>
  <si>
    <t>réel</t>
  </si>
  <si>
    <t>Stock</t>
  </si>
  <si>
    <t>2è contrôle</t>
  </si>
  <si>
    <t>moins :</t>
  </si>
  <si>
    <t>somme corr.</t>
  </si>
  <si>
    <t>CH solde Jan</t>
  </si>
  <si>
    <t>entrées mixtes</t>
  </si>
  <si>
    <t>total</t>
  </si>
  <si>
    <t>BALANCE production</t>
  </si>
  <si>
    <t>cumul total</t>
  </si>
  <si>
    <t>moins solde:</t>
  </si>
  <si>
    <t>resultat</t>
  </si>
  <si>
    <t>sem 06</t>
  </si>
  <si>
    <t>net</t>
  </si>
  <si>
    <t>sorties</t>
  </si>
  <si>
    <t>resul.interméd.</t>
  </si>
  <si>
    <t>sem 07</t>
  </si>
  <si>
    <t>cumul corrigé</t>
  </si>
  <si>
    <t>résultat net</t>
  </si>
  <si>
    <t>Pyro</t>
  </si>
  <si>
    <t>sem 08</t>
  </si>
  <si>
    <t>différence :</t>
  </si>
  <si>
    <t>sem 09</t>
  </si>
  <si>
    <t>solde Silo</t>
  </si>
  <si>
    <t>resultat NET</t>
  </si>
  <si>
    <t>sem 6</t>
  </si>
  <si>
    <t>lot Vpz mdt</t>
  </si>
  <si>
    <t>CH mdt</t>
  </si>
  <si>
    <t>sem 8</t>
  </si>
  <si>
    <t xml:space="preserve"> CH mdt</t>
  </si>
  <si>
    <t>Lot 14</t>
  </si>
  <si>
    <t>lot 19</t>
  </si>
  <si>
    <t>Schönenb</t>
  </si>
  <si>
    <t>Lot 15</t>
  </si>
  <si>
    <t>Sira</t>
  </si>
  <si>
    <t>lot 20</t>
  </si>
  <si>
    <t>sem 7</t>
  </si>
  <si>
    <t>SoldeCH s 7</t>
  </si>
  <si>
    <t>Tsr</t>
  </si>
  <si>
    <t>Lot 16</t>
  </si>
  <si>
    <t>RMSA</t>
  </si>
  <si>
    <t>Lot 17</t>
  </si>
  <si>
    <t>Glassey</t>
  </si>
  <si>
    <t>Lot 18</t>
  </si>
  <si>
    <t>Sécuritas</t>
  </si>
  <si>
    <t>Placette</t>
  </si>
  <si>
    <t>Total Ch</t>
  </si>
  <si>
    <t>total Sira</t>
  </si>
  <si>
    <t xml:space="preserve"> de : SKI                                                                    MOUVEMENT  &amp;  PREPARATION  VPZ RéSé 10 Z                                                                                       </t>
  </si>
  <si>
    <t>Tri A 2</t>
  </si>
  <si>
    <t>Annexe 1</t>
  </si>
  <si>
    <t>Zone provisoire</t>
  </si>
  <si>
    <t>Annexe 2</t>
  </si>
  <si>
    <t>9 bgbg</t>
  </si>
  <si>
    <t>avec résé</t>
  </si>
  <si>
    <t>Piles</t>
  </si>
  <si>
    <t>Détail composition</t>
  </si>
  <si>
    <t>poids moyen</t>
  </si>
  <si>
    <t>18 palletes</t>
  </si>
  <si>
    <t>Total Bgbg</t>
  </si>
  <si>
    <t>Total Fûts</t>
  </si>
  <si>
    <t>7 bgbg</t>
  </si>
  <si>
    <t>31 bgbg</t>
  </si>
  <si>
    <t>Total résé</t>
  </si>
  <si>
    <t>Non</t>
  </si>
  <si>
    <t>mélangé</t>
  </si>
  <si>
    <t>mélangées</t>
  </si>
  <si>
    <t>Non trié</t>
  </si>
  <si>
    <t>Non triées</t>
  </si>
  <si>
    <t>s.i</t>
  </si>
  <si>
    <t>en res</t>
  </si>
  <si>
    <t>en bgbg</t>
  </si>
  <si>
    <t>solde réel</t>
  </si>
  <si>
    <t>différence</t>
  </si>
  <si>
    <t>S.I ancien stock</t>
  </si>
  <si>
    <t>Solde préparation</t>
  </si>
  <si>
    <t>Nouveau stock</t>
  </si>
  <si>
    <t>Total initial</t>
  </si>
  <si>
    <t>Recherche Nmbr sur quant.de préparation</t>
  </si>
  <si>
    <t>T.M.</t>
  </si>
  <si>
    <t>total mélangéT.M.</t>
  </si>
  <si>
    <t>mélange</t>
  </si>
  <si>
    <t>34 FUTS</t>
  </si>
  <si>
    <t>FUTS</t>
  </si>
  <si>
    <t>solde rél</t>
  </si>
  <si>
    <t>résé</t>
  </si>
  <si>
    <t>big-bag en Annexe 3</t>
  </si>
  <si>
    <t>MDT tri Res et silo</t>
  </si>
  <si>
    <t>report à trier</t>
  </si>
  <si>
    <t>report en fûts</t>
  </si>
  <si>
    <t>total reporté</t>
  </si>
  <si>
    <t>intégral</t>
  </si>
  <si>
    <t>piles mélange</t>
  </si>
  <si>
    <t>Brut</t>
  </si>
  <si>
    <t>47 Bgbg en tout</t>
  </si>
  <si>
    <t>47*340</t>
  </si>
  <si>
    <t>37*340</t>
  </si>
  <si>
    <t>R.T reduction du Tri</t>
  </si>
  <si>
    <t>R.T</t>
  </si>
  <si>
    <t>Q.Reslt.Tri</t>
  </si>
  <si>
    <t>M.D.T.</t>
  </si>
  <si>
    <t>Mise à Disposition Triage</t>
  </si>
  <si>
    <t>Mélange</t>
  </si>
  <si>
    <t>RESE / MixtesVPZ</t>
  </si>
  <si>
    <t>Decembre 1998</t>
  </si>
  <si>
    <t>RESERVE en Big-Bags</t>
  </si>
  <si>
    <t>Poids moyen par charge</t>
  </si>
  <si>
    <t>Mixtes/Vpz</t>
  </si>
  <si>
    <t>Total mélange</t>
  </si>
  <si>
    <t>Conception de base Vpz</t>
  </si>
  <si>
    <t>de 1 à 14</t>
  </si>
  <si>
    <t>mixtes</t>
  </si>
  <si>
    <t>de 15 à 25</t>
  </si>
  <si>
    <t>de 26 à 37</t>
  </si>
  <si>
    <t>totaux résé</t>
  </si>
  <si>
    <t>totaux mixtes</t>
  </si>
  <si>
    <t>Calcul Mixtes</t>
  </si>
  <si>
    <t xml:space="preserve">          resultat piles net reserve plus silo</t>
  </si>
  <si>
    <t xml:space="preserve">Remise en stock via SILO </t>
  </si>
  <si>
    <t>interméd</t>
  </si>
  <si>
    <t>Net SILO,Non sorti du décompte Mixtes</t>
  </si>
  <si>
    <t>e.t.i</t>
  </si>
  <si>
    <r>
      <t xml:space="preserve"> = </t>
    </r>
    <r>
      <rPr>
        <b/>
        <sz val="9"/>
        <rFont val="Arial"/>
        <family val="2"/>
      </rPr>
      <t>e</t>
    </r>
    <r>
      <rPr>
        <sz val="9"/>
        <rFont val="Arial"/>
        <family val="2"/>
      </rPr>
      <t>n</t>
    </r>
    <r>
      <rPr>
        <b/>
        <sz val="9"/>
        <rFont val="Arial"/>
        <family val="2"/>
      </rPr>
      <t>t</t>
    </r>
    <r>
      <rPr>
        <sz val="9"/>
        <rFont val="Arial"/>
        <family val="2"/>
      </rPr>
      <t>rée</t>
    </r>
  </si>
  <si>
    <r>
      <t>i</t>
    </r>
    <r>
      <rPr>
        <sz val="9"/>
        <rFont val="Arial"/>
        <family val="2"/>
      </rPr>
      <t>nterne</t>
    </r>
  </si>
  <si>
    <t>eti</t>
  </si>
  <si>
    <t>corrigé</t>
  </si>
  <si>
    <t>SoldeSilo = VPZ,remis en stock</t>
  </si>
  <si>
    <t>par mois(1 mois)</t>
  </si>
  <si>
    <r>
      <t>E</t>
    </r>
    <r>
      <rPr>
        <sz val="10"/>
        <rFont val="Times New Roman"/>
        <family val="1"/>
      </rPr>
      <t>ntrées internes</t>
    </r>
  </si>
  <si>
    <t>Semaine 2</t>
  </si>
  <si>
    <t>Semaine 3</t>
  </si>
  <si>
    <t>Semaine 4</t>
  </si>
  <si>
    <t>Semaine 5</t>
  </si>
  <si>
    <t>Semaine 6</t>
  </si>
  <si>
    <t>Semaine 7</t>
  </si>
  <si>
    <t>Semaine 8</t>
  </si>
  <si>
    <t>Semaine 9</t>
  </si>
  <si>
    <t>Semaine 10</t>
  </si>
  <si>
    <t>Semaine 11</t>
  </si>
  <si>
    <t>Semaine 12</t>
  </si>
  <si>
    <t>Semaine 13</t>
  </si>
  <si>
    <t>Semaine 14</t>
  </si>
  <si>
    <t>Semaine 15</t>
  </si>
  <si>
    <t>Semaine 16</t>
  </si>
  <si>
    <t>Semaine 17</t>
  </si>
  <si>
    <t>Semaine 18</t>
  </si>
  <si>
    <t>Semaine 19</t>
  </si>
  <si>
    <t>Stock initial invent</t>
  </si>
  <si>
    <t>S.i.Mouvmnt</t>
  </si>
  <si>
    <t>Code Fournisseur</t>
  </si>
  <si>
    <t>Nom du Fournisseur</t>
  </si>
  <si>
    <t>Contact</t>
  </si>
  <si>
    <t>Adresse</t>
  </si>
  <si>
    <t>Ville</t>
  </si>
  <si>
    <t>Code postal</t>
  </si>
  <si>
    <t>Région</t>
  </si>
  <si>
    <t>Pays</t>
  </si>
  <si>
    <t>N° téléphone</t>
  </si>
  <si>
    <t>Fax</t>
  </si>
  <si>
    <t>Transporteur</t>
  </si>
  <si>
    <t xml:space="preserve"> AVO autoTransp.AVO</t>
  </si>
  <si>
    <t>Z.I.Les Ducats</t>
  </si>
  <si>
    <t>Orbe</t>
  </si>
  <si>
    <t>Adm.Communale</t>
  </si>
  <si>
    <t>Mr Barras</t>
  </si>
  <si>
    <t>Ch.des écoliers7</t>
  </si>
  <si>
    <t>Belfaux</t>
  </si>
  <si>
    <t>037/451920</t>
  </si>
  <si>
    <t>00100001</t>
  </si>
  <si>
    <t>Amstutz altöl A.G.</t>
  </si>
  <si>
    <t>M.Meier</t>
  </si>
  <si>
    <t>Bachstrasse 26</t>
  </si>
  <si>
    <t>Obfelden</t>
  </si>
  <si>
    <t>01/7618292</t>
  </si>
  <si>
    <t>Apil-Repil</t>
  </si>
  <si>
    <t>rue du chêne 19</t>
  </si>
  <si>
    <t>Renens</t>
  </si>
  <si>
    <t>Mr Menal</t>
  </si>
  <si>
    <t>Le Chateau</t>
  </si>
  <si>
    <t>Morges</t>
  </si>
  <si>
    <t>021/8012615</t>
  </si>
  <si>
    <t>Batrec A.G.</t>
  </si>
  <si>
    <t>Postfac 20</t>
  </si>
  <si>
    <t>Wimmis</t>
  </si>
  <si>
    <t>Gafner Transporte Gwall(Thun)</t>
  </si>
  <si>
    <t>Berthod Alcide</t>
  </si>
  <si>
    <t>Bramois-Sion</t>
  </si>
  <si>
    <t>VS</t>
  </si>
  <si>
    <t>027/2056633</t>
  </si>
  <si>
    <t>Bobst S.A.</t>
  </si>
  <si>
    <t>Mr Girardin</t>
  </si>
  <si>
    <t>Case postale</t>
  </si>
  <si>
    <t>Lausanne</t>
  </si>
  <si>
    <t>021/6212020</t>
  </si>
  <si>
    <t>Bugnard S.A.</t>
  </si>
  <si>
    <t>CP 11</t>
  </si>
  <si>
    <t>Cablr.Cortaillod</t>
  </si>
  <si>
    <t>Cossonay-Gare</t>
  </si>
  <si>
    <t>Cossonay</t>
  </si>
  <si>
    <t>021/8618111</t>
  </si>
  <si>
    <t>Cammandona S.A.</t>
  </si>
  <si>
    <t xml:space="preserve">Rt.de Cossonay 30       </t>
  </si>
  <si>
    <t>Crissier</t>
  </si>
  <si>
    <t>CERN</t>
  </si>
  <si>
    <t>Mr Magnier</t>
  </si>
  <si>
    <t>Rt.de Meyrin</t>
  </si>
  <si>
    <t>Genève 23</t>
  </si>
  <si>
    <t>022/7673583</t>
  </si>
  <si>
    <t>Chem.de f.fribrgeois</t>
  </si>
  <si>
    <t xml:space="preserve">R.des pilettes 3 </t>
  </si>
  <si>
    <t>Fribourg</t>
  </si>
  <si>
    <t>Cheneviers(les)</t>
  </si>
  <si>
    <t>Aire-la-Ville</t>
  </si>
  <si>
    <t>GE</t>
  </si>
  <si>
    <t>Chiresa A.G.</t>
  </si>
  <si>
    <t>Landstrasse 2</t>
  </si>
  <si>
    <t>Turgi</t>
  </si>
  <si>
    <t>CIMO Comp.Industr.</t>
  </si>
  <si>
    <t>Coppex</t>
  </si>
  <si>
    <t>Monthey</t>
  </si>
  <si>
    <t>024/4752847</t>
  </si>
  <si>
    <t>Comm.de Collombey</t>
  </si>
  <si>
    <t>Collombey</t>
  </si>
  <si>
    <t>Commune de Renens</t>
  </si>
  <si>
    <t>Rue du Lac 14</t>
  </si>
  <si>
    <t>Commune de Sion T.Publ</t>
  </si>
  <si>
    <t>Rue de Lausanne 23</t>
  </si>
  <si>
    <t>Sion</t>
  </si>
  <si>
    <t>027/3111941</t>
  </si>
  <si>
    <t>Commune de Sion U.T.O.</t>
  </si>
  <si>
    <t>Uvrier(St-Léonard)</t>
  </si>
  <si>
    <t>027/311941</t>
  </si>
  <si>
    <t>Condis S.A.cond.élé</t>
  </si>
  <si>
    <t>Mr Clément</t>
  </si>
  <si>
    <t>Zone industrielle</t>
  </si>
  <si>
    <t>Rossens-FR</t>
  </si>
  <si>
    <t>037/332222</t>
  </si>
  <si>
    <t>Coop Schweiz</t>
  </si>
  <si>
    <t>M. Luscher</t>
  </si>
  <si>
    <t>Industriestrasse</t>
  </si>
  <si>
    <t>Wangen Bei Olten</t>
  </si>
  <si>
    <t>Cosmital S.A.</t>
  </si>
  <si>
    <t>Dougoud P.</t>
  </si>
  <si>
    <t>Rt Chesalles 21</t>
  </si>
  <si>
    <t>Marly</t>
  </si>
  <si>
    <t>037/463991</t>
  </si>
  <si>
    <t>Cridec S.A.</t>
  </si>
  <si>
    <t>Rt.Daillens</t>
  </si>
  <si>
    <t>Eclepens</t>
  </si>
  <si>
    <t>021/8667654</t>
  </si>
  <si>
    <t>CROM Serv.Assainis</t>
  </si>
  <si>
    <t>P.Vincenz</t>
  </si>
  <si>
    <t>Pl du Vallon 9</t>
  </si>
  <si>
    <t>021/3124503</t>
  </si>
  <si>
    <t>CTDS les Cheneviers</t>
  </si>
  <si>
    <t>C.Burnand</t>
  </si>
  <si>
    <t>CP 206</t>
  </si>
  <si>
    <t>Genève 8</t>
  </si>
  <si>
    <t>022/7574820</t>
  </si>
  <si>
    <t>Durussel S.A. él,tél.</t>
  </si>
  <si>
    <t>R.de la Borde 41</t>
  </si>
  <si>
    <t>021/6437323</t>
  </si>
  <si>
    <t>FAG S.A.</t>
  </si>
  <si>
    <t>G.Torche</t>
  </si>
  <si>
    <t>Avenches</t>
  </si>
  <si>
    <t>037/751601</t>
  </si>
  <si>
    <t>Fairtec</t>
  </si>
  <si>
    <t>P. Raetzo</t>
  </si>
  <si>
    <t xml:space="preserve">Rue St-Henri  2 </t>
  </si>
  <si>
    <t>Delémont</t>
  </si>
  <si>
    <t>032/4231662</t>
  </si>
  <si>
    <t>Favre tranport S.A.</t>
  </si>
  <si>
    <t>Rue du Levant 132</t>
  </si>
  <si>
    <t>Martigny</t>
  </si>
  <si>
    <t>Firmenich</t>
  </si>
  <si>
    <t>Rt.de la plaine45</t>
  </si>
  <si>
    <t>La Plaine</t>
  </si>
  <si>
    <t>022/7541551</t>
  </si>
  <si>
    <t>Gabriel trsprt(prSchnyder)</t>
  </si>
  <si>
    <t>marcel Gabr</t>
  </si>
  <si>
    <t>Habsbourgerstr. 20</t>
  </si>
  <si>
    <t>Luzern</t>
  </si>
  <si>
    <t>041/6244040</t>
  </si>
  <si>
    <t>Gendarmerie de Mrg</t>
  </si>
  <si>
    <t>Goutte &amp; Cie S.A.</t>
  </si>
  <si>
    <t>Av.Sévelin 10-20</t>
  </si>
  <si>
    <t>Lausanne 20</t>
  </si>
  <si>
    <t>Hopital de Loex</t>
  </si>
  <si>
    <t>Bernex</t>
  </si>
  <si>
    <t>HUGHopitalGenéveVoirie</t>
  </si>
  <si>
    <t>Ch.du Pont-Bel-Air 2</t>
  </si>
  <si>
    <t>Chêne-Bourg</t>
  </si>
  <si>
    <t>Valorisation Matières S.A.GE</t>
  </si>
  <si>
    <t>J.Challande &amp; fils</t>
  </si>
  <si>
    <t>René Chall.</t>
  </si>
  <si>
    <t>Rt de Duiller 26</t>
  </si>
  <si>
    <t>Nyon</t>
  </si>
  <si>
    <t>022/3615551</t>
  </si>
  <si>
    <t>Jumbo</t>
  </si>
  <si>
    <t>Conthey</t>
  </si>
  <si>
    <t>Valais</t>
  </si>
  <si>
    <t>L.Ellgass S.A.</t>
  </si>
  <si>
    <t>Ol.Ellgass</t>
  </si>
  <si>
    <t xml:space="preserve">Rt.de Renens 5 </t>
  </si>
  <si>
    <t>Bussigny</t>
  </si>
  <si>
    <t>Leclanché S.A.</t>
  </si>
  <si>
    <t>Dr.J.Larcin</t>
  </si>
  <si>
    <t xml:space="preserve">Av.de Grandson 48        </t>
  </si>
  <si>
    <t>Yverdon-les-bains</t>
  </si>
  <si>
    <t>M R S.A.</t>
  </si>
  <si>
    <t>CP 430</t>
  </si>
  <si>
    <t>Genève 24</t>
  </si>
  <si>
    <t>M.Goutte &amp;Cie S.A.</t>
  </si>
  <si>
    <t>021/6244444</t>
  </si>
  <si>
    <t>Maeder AG</t>
  </si>
  <si>
    <t>Morat</t>
  </si>
  <si>
    <t>Manor A.G.</t>
  </si>
  <si>
    <t>Möhlin</t>
  </si>
  <si>
    <t>Marie de Puplinge</t>
  </si>
  <si>
    <t>Mr Ecoffey</t>
  </si>
  <si>
    <t>68-70 rue Graman</t>
  </si>
  <si>
    <t>Puplinge</t>
  </si>
  <si>
    <t>022/3497556</t>
  </si>
  <si>
    <t>RVM</t>
  </si>
  <si>
    <t>Membrez S.A.</t>
  </si>
  <si>
    <t>La Rosaire</t>
  </si>
  <si>
    <t>Aclens</t>
  </si>
  <si>
    <t>Metal Blanc</t>
  </si>
  <si>
    <t>Rue Pasteur Bourg-Fidèle</t>
  </si>
  <si>
    <t>Rocroi</t>
  </si>
  <si>
    <t>Brinks (VPZ)</t>
  </si>
  <si>
    <t>Métalor S.A.</t>
  </si>
  <si>
    <t>G.Barbier</t>
  </si>
  <si>
    <t>Rue des Perveuils 8</t>
  </si>
  <si>
    <t>Marin</t>
  </si>
  <si>
    <t>032/7206111</t>
  </si>
  <si>
    <t>MR S.A.Montres Rolex</t>
  </si>
  <si>
    <t>G.Quattropani</t>
  </si>
  <si>
    <t>Rue Le Royer</t>
  </si>
  <si>
    <t>022/3082200</t>
  </si>
  <si>
    <t>022/3002255</t>
  </si>
  <si>
    <t>Nestec S.A.</t>
  </si>
  <si>
    <t>CP 44</t>
  </si>
  <si>
    <t>Lausanne 26</t>
  </si>
  <si>
    <t>Av. Nestlé 55</t>
  </si>
  <si>
    <t>Vevey</t>
  </si>
  <si>
    <t>Norvatis</t>
  </si>
  <si>
    <t>P.C.Ville de genève</t>
  </si>
  <si>
    <t>R,Rothschild 27</t>
  </si>
  <si>
    <t>Genéve</t>
  </si>
  <si>
    <t>022/7314330</t>
  </si>
  <si>
    <t>Panagora AG</t>
  </si>
  <si>
    <t>Zimerman Manfred W</t>
  </si>
  <si>
    <t>Postfach 92</t>
  </si>
  <si>
    <t>Koblenz</t>
  </si>
  <si>
    <t>Argovie</t>
  </si>
  <si>
    <t>Perraudin et Carron</t>
  </si>
  <si>
    <t>Saillon</t>
  </si>
  <si>
    <t>Philippe Morris</t>
  </si>
  <si>
    <t>Le Mont</t>
  </si>
  <si>
    <t>Piasio S.A.</t>
  </si>
  <si>
    <t>Avd'Echallens 63</t>
  </si>
  <si>
    <t xml:space="preserve">Placette S.A. </t>
  </si>
  <si>
    <t>Mr Nunez</t>
  </si>
  <si>
    <t>Av.Gén.Guisan 1</t>
  </si>
  <si>
    <t>0219257575</t>
  </si>
  <si>
    <t>Av.de l'Europe21</t>
  </si>
  <si>
    <t>Radio matériel</t>
  </si>
  <si>
    <t>Rue des Baumettes21</t>
  </si>
  <si>
    <t xml:space="preserve">Ralston </t>
  </si>
  <si>
    <t>R. Lietha</t>
  </si>
  <si>
    <t>43,L-J-Chevrolet</t>
  </si>
  <si>
    <t>La Chx-de-Fonds</t>
  </si>
  <si>
    <t>0329250500</t>
  </si>
  <si>
    <t>Recup.RG S.A.</t>
  </si>
  <si>
    <t>Z.I. la guerite</t>
  </si>
  <si>
    <t>Bussy(FR)Sevaz</t>
  </si>
  <si>
    <t>037634646</t>
  </si>
  <si>
    <t>RecupAir</t>
  </si>
  <si>
    <t>Pradervand Alain</t>
  </si>
  <si>
    <t>Av. des bergieres 26 CP 270</t>
  </si>
  <si>
    <t>Lausanne 22</t>
  </si>
  <si>
    <t>VD</t>
  </si>
  <si>
    <t xml:space="preserve">Regent S.A. </t>
  </si>
  <si>
    <t>Ch.Rionzi 60</t>
  </si>
  <si>
    <t>0216461611</t>
  </si>
  <si>
    <t>Reichert Siegfried transporte</t>
  </si>
  <si>
    <t>Reichert</t>
  </si>
  <si>
    <t>Rte Principale 53</t>
  </si>
  <si>
    <t>Frinvillier</t>
  </si>
  <si>
    <t>S.R.Transporte</t>
  </si>
  <si>
    <t>Renata A.G.</t>
  </si>
  <si>
    <t>KurtSchafner</t>
  </si>
  <si>
    <t>Itingen</t>
  </si>
  <si>
    <t>0619718181</t>
  </si>
  <si>
    <t>RVM S.A.</t>
  </si>
  <si>
    <t>Mr Bosshard</t>
  </si>
  <si>
    <t>Plan les Ouates</t>
  </si>
  <si>
    <t>022/7943040</t>
  </si>
  <si>
    <t>Sarer S.A.</t>
  </si>
  <si>
    <t>Rt.de Morges 21-23</t>
  </si>
  <si>
    <t>Sazan</t>
  </si>
  <si>
    <t>Ch. du Coteau</t>
  </si>
  <si>
    <t>Schönenberger</t>
  </si>
  <si>
    <t>Lichtensteig</t>
  </si>
  <si>
    <t>022/3411520</t>
  </si>
  <si>
    <t>Sécuritas S.A.</t>
  </si>
  <si>
    <t>Serbeco</t>
  </si>
  <si>
    <t>La Cour/Crusca</t>
  </si>
  <si>
    <t xml:space="preserve">Ch.prè-Salomon 25       </t>
  </si>
  <si>
    <t>Satigny-Gnève 24</t>
  </si>
  <si>
    <t>Service incend.et secours</t>
  </si>
  <si>
    <t>Mr Gaber</t>
  </si>
  <si>
    <t>Fauxbourg du Lac 5</t>
  </si>
  <si>
    <t>Neuchatel</t>
  </si>
  <si>
    <t>Service industriel</t>
  </si>
  <si>
    <t>P.Jeannerat</t>
  </si>
  <si>
    <t>Ch.du Chateau-Bloch2</t>
  </si>
  <si>
    <t>Le Lignon</t>
  </si>
  <si>
    <t xml:space="preserve">Service industriel </t>
  </si>
  <si>
    <t>Rue de l'ancien stand</t>
  </si>
  <si>
    <t>Yverdon-Les-Bains</t>
  </si>
  <si>
    <t>Service industriel Lsne</t>
  </si>
  <si>
    <t>Ch.de L'usine à gaz 19</t>
  </si>
  <si>
    <t>Sevysa</t>
  </si>
  <si>
    <t>Ch. du Coteau 33</t>
  </si>
  <si>
    <t>Shnyder A.G.alteisen&amp;mét.</t>
  </si>
  <si>
    <t>NOUV.N°103</t>
  </si>
  <si>
    <t>Emmen</t>
  </si>
  <si>
    <t>041/2686080</t>
  </si>
  <si>
    <t>Shweiserich electrotechn.</t>
  </si>
  <si>
    <t>W.Zwahlen</t>
  </si>
  <si>
    <t>Zweissimen</t>
  </si>
  <si>
    <t>SignalPark</t>
  </si>
  <si>
    <t>Mr Pibeleau</t>
  </si>
  <si>
    <t>2,Rue St-Ours</t>
  </si>
  <si>
    <t>Genève</t>
  </si>
  <si>
    <t>Sira Départmnt Fûts</t>
  </si>
  <si>
    <t>Z.I. l'Islon</t>
  </si>
  <si>
    <t>Chasse-S-Rhône</t>
  </si>
  <si>
    <t xml:space="preserve">  38670</t>
  </si>
  <si>
    <t>59/72492505</t>
  </si>
  <si>
    <t>SM Recycling A.G.</t>
  </si>
  <si>
    <t>M.Ramseier</t>
  </si>
  <si>
    <t>Industriestrasse 16 c</t>
  </si>
  <si>
    <t>Dülliken</t>
  </si>
  <si>
    <t>Société des Auto-Transport</t>
  </si>
  <si>
    <t>Grande-Rue</t>
  </si>
  <si>
    <t>Ballaigues(val de l'Orbe)</t>
  </si>
  <si>
    <t>Société des Banq. Suisse</t>
  </si>
  <si>
    <t>H.Cheiter</t>
  </si>
  <si>
    <t>Rue de la Conféd. 2</t>
  </si>
  <si>
    <t>Soudronic A.G.</t>
  </si>
  <si>
    <t>Lrla McIntosh</t>
  </si>
  <si>
    <t>Industriestrasse 11</t>
  </si>
  <si>
    <t>Bergdietikon</t>
  </si>
  <si>
    <t>AG</t>
  </si>
  <si>
    <t>017436666</t>
  </si>
  <si>
    <t xml:space="preserve"> 06230002</t>
  </si>
  <si>
    <t>Sovag</t>
  </si>
  <si>
    <t>BVonGunten</t>
  </si>
  <si>
    <t>Im Kieswerk</t>
  </si>
  <si>
    <t>Rubigen</t>
  </si>
  <si>
    <t>BE</t>
  </si>
  <si>
    <t>0317213392</t>
  </si>
  <si>
    <t>Splimo S.A.</t>
  </si>
  <si>
    <t>Mr Gramenzi</t>
  </si>
  <si>
    <t>28,Rte du Bois-de-Bay</t>
  </si>
  <si>
    <t>Satigny-Genève</t>
  </si>
  <si>
    <t>022/9300531</t>
  </si>
  <si>
    <t>Station Changins</t>
  </si>
  <si>
    <t>W Schild</t>
  </si>
  <si>
    <t>026/4702012</t>
  </si>
  <si>
    <t>Zone Industrielle</t>
  </si>
  <si>
    <t>Rosé</t>
  </si>
  <si>
    <t>037302012</t>
  </si>
  <si>
    <t>Streck Karl</t>
  </si>
  <si>
    <t>Transpotr</t>
  </si>
  <si>
    <t>Ch. Du cotteau</t>
  </si>
  <si>
    <t>Mölin</t>
  </si>
  <si>
    <t>03930001</t>
  </si>
  <si>
    <t>Swisscab</t>
  </si>
  <si>
    <t>R.de l'industrie 5</t>
  </si>
  <si>
    <t>Yvonand</t>
  </si>
  <si>
    <t>Thommen&amp;CO AG</t>
  </si>
  <si>
    <t>B.Allenbach &amp; Hr. Rotstein</t>
  </si>
  <si>
    <t>Industriestr. 10</t>
  </si>
  <si>
    <t>Rueti B.Bueren</t>
  </si>
  <si>
    <t>0323512781</t>
  </si>
  <si>
    <t>UIOM Vl de Lsne</t>
  </si>
  <si>
    <t>O.Décovert</t>
  </si>
  <si>
    <t>Pl du Vallon 7</t>
  </si>
  <si>
    <t>0213124581</t>
  </si>
  <si>
    <t>Uni. Fribourg</t>
  </si>
  <si>
    <t>0372971111</t>
  </si>
  <si>
    <t>Uni. Fribourg Fac.Science</t>
  </si>
  <si>
    <t>inst. de chimie</t>
  </si>
  <si>
    <t>Unil Intendance</t>
  </si>
  <si>
    <t>Meirino S.</t>
  </si>
  <si>
    <t>Usego S.A.</t>
  </si>
  <si>
    <t>R.de l'industrie 66</t>
  </si>
  <si>
    <t>UTO Comm.de Sion</t>
  </si>
  <si>
    <t>Alfen de veer(van)</t>
  </si>
  <si>
    <t>027311941</t>
  </si>
  <si>
    <t>Valorisation des Matières S.A.</t>
  </si>
  <si>
    <t>Gamble Michael</t>
  </si>
  <si>
    <t>Plan-les-Ouates</t>
  </si>
  <si>
    <t>022 7943040</t>
  </si>
  <si>
    <t>Transporteur(HUG)</t>
  </si>
  <si>
    <t>Tolwag 22</t>
  </si>
  <si>
    <t>Ermelo SK</t>
  </si>
  <si>
    <t>079/3531331</t>
  </si>
  <si>
    <t>079/3531146</t>
  </si>
  <si>
    <t xml:space="preserve">Vulliamy S.A. </t>
  </si>
  <si>
    <t>Chatelard 5</t>
  </si>
  <si>
    <t>Cheseaux-s-Lsne</t>
  </si>
  <si>
    <t>Waga-Contact S.A.</t>
  </si>
  <si>
    <t>C.P. 76</t>
  </si>
  <si>
    <t>Domdidier</t>
  </si>
  <si>
    <t>Zeughauss EIDG</t>
  </si>
  <si>
    <t>Wychelstr. 7</t>
  </si>
  <si>
    <t>Interlaken</t>
  </si>
  <si>
    <t>Zurich Assurance</t>
  </si>
  <si>
    <t>P. Degalier</t>
  </si>
  <si>
    <t>Rt. de Chavannes 35</t>
  </si>
  <si>
    <t>Goutte</t>
  </si>
  <si>
    <t>remett.</t>
  </si>
  <si>
    <t xml:space="preserve">     Nov.1997/ déc.1998</t>
  </si>
  <si>
    <t>tot.in CH,VPZ 98</t>
  </si>
  <si>
    <t>silo  97/ et 98 Vpz</t>
  </si>
  <si>
    <t>Rt CH/Sira</t>
  </si>
  <si>
    <t>Solde VPZ</t>
  </si>
  <si>
    <t>Solde CH et Sira</t>
  </si>
  <si>
    <t>retour solde Silo</t>
  </si>
  <si>
    <t>retour</t>
  </si>
  <si>
    <t>soldeSilo</t>
  </si>
  <si>
    <t xml:space="preserve">       Solde Vpz au 31/12/99</t>
  </si>
  <si>
    <t>Poussr.Boutons</t>
  </si>
  <si>
    <t>CH Sem</t>
  </si>
  <si>
    <t>Som</t>
  </si>
  <si>
    <t>TotGénérVpz/Ch/Sira:</t>
  </si>
  <si>
    <t>Stock Rotation Mois précédent MIXTES+entrées</t>
  </si>
  <si>
    <t>Totaux Sira</t>
  </si>
  <si>
    <t>totalremettantsCH</t>
  </si>
  <si>
    <t>brut</t>
  </si>
  <si>
    <t>moyMoncl</t>
  </si>
  <si>
    <t>CH Total Hebdo</t>
  </si>
  <si>
    <t>Prélèvmet SiloSem</t>
  </si>
  <si>
    <t>Enrtrées SIRA et CH</t>
  </si>
  <si>
    <t>Total in Sra</t>
  </si>
  <si>
    <t>Sira Silo NT</t>
  </si>
  <si>
    <t>Cheneviers</t>
  </si>
  <si>
    <t>total remettant VPZ</t>
  </si>
  <si>
    <t xml:space="preserve">   CH + Sra =</t>
  </si>
  <si>
    <t>Produit</t>
  </si>
  <si>
    <t>sur 38900</t>
  </si>
  <si>
    <t>sur 66880</t>
  </si>
  <si>
    <t>Augmentation de stock</t>
  </si>
  <si>
    <t>Solde actuel</t>
  </si>
  <si>
    <t>@</t>
  </si>
  <si>
    <t>remiseSolde Silo</t>
  </si>
  <si>
    <t>Reserve + Résé</t>
  </si>
  <si>
    <t>Tranféré en</t>
  </si>
  <si>
    <t>reserve p/Silo</t>
  </si>
  <si>
    <t>Plus Résé =</t>
  </si>
  <si>
    <t>solde déc98+reserve</t>
  </si>
  <si>
    <t xml:space="preserve">sur </t>
  </si>
  <si>
    <t>Production MDT total</t>
  </si>
  <si>
    <t>Semaine 1</t>
  </si>
  <si>
    <t>35618 / 107</t>
  </si>
  <si>
    <t>quant résé sur nombre bgbags</t>
  </si>
  <si>
    <t>Addition de 14 big-bag mélange Non Triés en reserve</t>
  </si>
  <si>
    <t>mixtes * nombre de bgbags</t>
  </si>
  <si>
    <t>48978 / 107</t>
  </si>
  <si>
    <t>N° 1</t>
  </si>
  <si>
    <t>N° 2</t>
  </si>
  <si>
    <t>N° 3</t>
  </si>
  <si>
    <t>N° 4</t>
  </si>
  <si>
    <t>N° 5</t>
  </si>
  <si>
    <t>N° 6</t>
  </si>
  <si>
    <t>N° 7</t>
  </si>
  <si>
    <t>N° 8</t>
  </si>
  <si>
    <t>N° 9</t>
  </si>
  <si>
    <t>N° 10</t>
  </si>
  <si>
    <t>N° 11</t>
  </si>
  <si>
    <t>N° 12</t>
  </si>
  <si>
    <t>N° 13</t>
  </si>
  <si>
    <t>N° 14</t>
  </si>
  <si>
    <t>N° 15</t>
  </si>
  <si>
    <t>N° 16</t>
  </si>
  <si>
    <t>N° 17</t>
  </si>
  <si>
    <t>N° 18</t>
  </si>
  <si>
    <t>N° 19</t>
  </si>
  <si>
    <t>N° 20</t>
  </si>
  <si>
    <t>N° 21</t>
  </si>
  <si>
    <t>N° 22</t>
  </si>
  <si>
    <t>N° 23</t>
  </si>
  <si>
    <t>N° 24</t>
  </si>
  <si>
    <t>N° 25</t>
  </si>
  <si>
    <t>N° 26</t>
  </si>
  <si>
    <t>N° 27</t>
  </si>
  <si>
    <t>N° 28</t>
  </si>
  <si>
    <t>N° 29</t>
  </si>
  <si>
    <t>N° 30</t>
  </si>
  <si>
    <t>N° 31</t>
  </si>
  <si>
    <t>N° 32</t>
  </si>
  <si>
    <t>N° 33</t>
  </si>
  <si>
    <t>N° 34</t>
  </si>
  <si>
    <t>N° 35</t>
  </si>
  <si>
    <t>N° 36</t>
  </si>
  <si>
    <t>N° 37</t>
  </si>
  <si>
    <t>N° 38</t>
  </si>
  <si>
    <t>N° 39</t>
  </si>
  <si>
    <t>N° 40</t>
  </si>
  <si>
    <t>N° 41</t>
  </si>
  <si>
    <t>N° 42</t>
  </si>
  <si>
    <t>N° 43</t>
  </si>
  <si>
    <t>N° 44</t>
  </si>
  <si>
    <t>N° 45</t>
  </si>
  <si>
    <t>N° 46</t>
  </si>
  <si>
    <t>N° 47</t>
  </si>
  <si>
    <t>N° 48</t>
  </si>
  <si>
    <t>N° 49</t>
  </si>
  <si>
    <t>N° 50</t>
  </si>
  <si>
    <t>N° 51</t>
  </si>
  <si>
    <t>N° 52</t>
  </si>
  <si>
    <t>N° 53</t>
  </si>
  <si>
    <t>N° 54</t>
  </si>
  <si>
    <t>N° 55</t>
  </si>
  <si>
    <t>N° 56</t>
  </si>
  <si>
    <t>N° 57</t>
  </si>
  <si>
    <t>N° 58</t>
  </si>
  <si>
    <t>N° 59</t>
  </si>
  <si>
    <t>N° 60</t>
  </si>
  <si>
    <t>N° 61</t>
  </si>
  <si>
    <t>N° 62</t>
  </si>
  <si>
    <t>N° 63</t>
  </si>
  <si>
    <t>N° 64</t>
  </si>
  <si>
    <t>N° 65</t>
  </si>
  <si>
    <t>N° 66</t>
  </si>
  <si>
    <t>N° 67</t>
  </si>
  <si>
    <t>N° 68</t>
  </si>
  <si>
    <t>N° 69</t>
  </si>
  <si>
    <t>N° 70</t>
  </si>
  <si>
    <t>N° 71</t>
  </si>
  <si>
    <t>N° 72</t>
  </si>
  <si>
    <t>N° 73</t>
  </si>
  <si>
    <t>N° 74</t>
  </si>
  <si>
    <t>N° 75</t>
  </si>
  <si>
    <t>N° 76</t>
  </si>
  <si>
    <t>N° 77</t>
  </si>
  <si>
    <t>N° 78</t>
  </si>
  <si>
    <t>N° 79</t>
  </si>
  <si>
    <t>N° 80</t>
  </si>
  <si>
    <t>N° 81</t>
  </si>
  <si>
    <t>N° 82</t>
  </si>
  <si>
    <t>N° 83</t>
  </si>
  <si>
    <t>N° 84</t>
  </si>
  <si>
    <t>N° 85</t>
  </si>
  <si>
    <t>N° 86</t>
  </si>
  <si>
    <t>N° 87</t>
  </si>
  <si>
    <t>N° 88</t>
  </si>
  <si>
    <t>N°93</t>
  </si>
  <si>
    <t>Total Résé</t>
  </si>
  <si>
    <t>Total Mixtes</t>
  </si>
  <si>
    <t>Sortie Clôture</t>
  </si>
  <si>
    <t>Tot broyage</t>
  </si>
  <si>
    <t>broyage</t>
  </si>
  <si>
    <t>Total initial 1</t>
  </si>
  <si>
    <t>Total initial 3</t>
  </si>
  <si>
    <t>Total initial 2</t>
  </si>
  <si>
    <t>Tot.FR</t>
  </si>
  <si>
    <t>Tot.CH</t>
  </si>
  <si>
    <t>Sortie Brut</t>
  </si>
  <si>
    <t>Piles Vpz</t>
  </si>
  <si>
    <t>Piles FR</t>
  </si>
  <si>
    <t>Semaine 20</t>
  </si>
  <si>
    <t>de production</t>
  </si>
  <si>
    <t>Solde au dernier arrêt relevé</t>
  </si>
  <si>
    <t>Livraison interne</t>
  </si>
  <si>
    <t>Date</t>
  </si>
  <si>
    <t>TotMensGénéral inclus spéciaux:</t>
  </si>
  <si>
    <t>TotalCH</t>
  </si>
  <si>
    <t>Vpz,CH,Sira,Spéciaux</t>
  </si>
  <si>
    <t>sortie prête</t>
  </si>
  <si>
    <t>Plomb</t>
  </si>
  <si>
    <t>Mouvmnt:</t>
  </si>
  <si>
    <t>Ch.de la Berée 50</t>
  </si>
  <si>
    <t>Comm.Meyrin</t>
  </si>
  <si>
    <t>Rolex S.A.</t>
  </si>
  <si>
    <t>Rue le Royer CP430</t>
  </si>
  <si>
    <t>022 3082200</t>
  </si>
  <si>
    <t>022 3002255</t>
  </si>
  <si>
    <t>Poste</t>
  </si>
  <si>
    <t>Catégorie d'Entrp</t>
  </si>
  <si>
    <t>Valorisation des mat.S.A.</t>
  </si>
  <si>
    <t>pour HUG Sect.jard.voirie</t>
  </si>
  <si>
    <t>Recyclage divers</t>
  </si>
  <si>
    <t>Jakoben Transporte A.G.</t>
  </si>
  <si>
    <t>Kernstrasse 25 a</t>
  </si>
  <si>
    <t>Sarnen</t>
  </si>
  <si>
    <t>pour SM recyc 20/11/98</t>
  </si>
  <si>
    <t>Compex</t>
  </si>
  <si>
    <t>Cern</t>
  </si>
  <si>
    <t>Duclos environnement S.A.</t>
  </si>
  <si>
    <t>Rte nationale 86</t>
  </si>
  <si>
    <t>Septèmes-les Vallons</t>
  </si>
  <si>
    <t>preneurRsé7&amp;P.Boutons</t>
  </si>
  <si>
    <t>Fin stock trié</t>
  </si>
  <si>
    <t>Total général</t>
  </si>
  <si>
    <t>moyenne mensuelle / poids net</t>
  </si>
  <si>
    <t>Ch,Vpz, Sira</t>
  </si>
  <si>
    <t>Reserve,Résé</t>
  </si>
  <si>
    <t>déchets 27 V</t>
  </si>
  <si>
    <t>N° 93</t>
  </si>
  <si>
    <t>quant résé sur Nb bgbags</t>
  </si>
  <si>
    <t>Mixtes &amp; Résé 10 Z</t>
  </si>
  <si>
    <t>mis en reserve au 31/12/98</t>
  </si>
  <si>
    <t>23 tonnes mélangées avec</t>
  </si>
  <si>
    <t>résé 10 Z</t>
  </si>
  <si>
    <t>mis en reserve</t>
  </si>
  <si>
    <t>CmMeyrin</t>
  </si>
  <si>
    <t>entrée du24/11/98 et 10/02/99</t>
  </si>
  <si>
    <t>27 V =27 big-bags + - 456 kg de moyenne</t>
  </si>
  <si>
    <t>Stock initial A1 / B 2</t>
  </si>
  <si>
    <t>EPFL</t>
  </si>
  <si>
    <t>Reduct Tri R.T</t>
  </si>
  <si>
    <t>QRT SILO NET</t>
  </si>
  <si>
    <t>Stock initial B1 / B2</t>
  </si>
  <si>
    <t>Stock initial C1 / C2</t>
  </si>
  <si>
    <t xml:space="preserve">       Batteries Clôtures</t>
  </si>
  <si>
    <t>33633 / 107</t>
  </si>
  <si>
    <t>64966 / 107</t>
  </si>
  <si>
    <t>VilLsne</t>
  </si>
  <si>
    <t>Totaux VIB:</t>
  </si>
  <si>
    <t>Tot.Roul.:</t>
  </si>
  <si>
    <t xml:space="preserve"> 10 mois restant</t>
  </si>
  <si>
    <t>Décompte 15 V au vend 11/06/98</t>
  </si>
  <si>
    <t>Solde en Silo</t>
  </si>
  <si>
    <t>NET approxim.</t>
  </si>
  <si>
    <t>BRUT</t>
  </si>
  <si>
    <t>Cumul produit net Stock Silo</t>
  </si>
  <si>
    <t>date :</t>
  </si>
  <si>
    <t xml:space="preserve">  .…...99 …... 99</t>
  </si>
  <si>
    <t>44/13</t>
  </si>
  <si>
    <t>45</t>
  </si>
  <si>
    <t>46</t>
  </si>
  <si>
    <t>47/14</t>
  </si>
  <si>
    <t>48</t>
  </si>
  <si>
    <t>49</t>
  </si>
  <si>
    <t>sem.9</t>
  </si>
  <si>
    <t>sem.10</t>
  </si>
  <si>
    <t>sem.11</t>
  </si>
  <si>
    <t>sem.12</t>
  </si>
  <si>
    <t>sem.13</t>
  </si>
  <si>
    <t>broyage 15.V</t>
  </si>
  <si>
    <t>Quantité initial :</t>
  </si>
  <si>
    <t>Sortie Net</t>
  </si>
  <si>
    <t xml:space="preserve">   </t>
  </si>
  <si>
    <t>50</t>
  </si>
  <si>
    <t>Bat.ind</t>
  </si>
  <si>
    <t>Amst</t>
  </si>
  <si>
    <t>51</t>
  </si>
  <si>
    <t>52</t>
  </si>
  <si>
    <t>53/15</t>
  </si>
  <si>
    <t>54</t>
  </si>
  <si>
    <t>Lécl.</t>
  </si>
  <si>
    <t>Bat.clôt</t>
  </si>
  <si>
    <t>Remettans</t>
  </si>
  <si>
    <t>Divers</t>
  </si>
  <si>
    <t>55</t>
  </si>
  <si>
    <t>Globus</t>
  </si>
  <si>
    <t>Logitech</t>
  </si>
  <si>
    <t>56</t>
  </si>
  <si>
    <t>Collect</t>
  </si>
  <si>
    <t>Zweili Béat</t>
  </si>
  <si>
    <t>Béat</t>
  </si>
  <si>
    <t>Route de la gare 1</t>
  </si>
  <si>
    <t>Penthalaz</t>
  </si>
  <si>
    <t>021 8610577</t>
  </si>
  <si>
    <t>021 8614068</t>
  </si>
  <si>
    <t>Lui-même</t>
  </si>
  <si>
    <t>Partenaire SM Recycling</t>
  </si>
  <si>
    <t>SM Reecycling</t>
  </si>
  <si>
    <t>Kasernenstrasse 26</t>
  </si>
  <si>
    <t>Aarau</t>
  </si>
  <si>
    <t>Globus Innovation S:A:</t>
  </si>
  <si>
    <t>Rue du pont 5</t>
  </si>
  <si>
    <t>Commerce</t>
  </si>
  <si>
    <t>Logitec S.A.</t>
  </si>
  <si>
    <t>Romanel sur Morges</t>
  </si>
</sst>
</file>

<file path=xl/styles.xml><?xml version="1.0" encoding="utf-8"?>
<styleSheet xmlns="http://schemas.openxmlformats.org/spreadsheetml/2006/main">
  <numFmts count="47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_-* #,##0\ _F_-;\-* #,##0\ _F_-;_-* &quot;-&quot;??\ _F_-;_-@_-"/>
    <numFmt numFmtId="165" formatCode="d/m/yy"/>
    <numFmt numFmtId="166" formatCode="mmm\-yy"/>
    <numFmt numFmtId="167" formatCode="d/m"/>
    <numFmt numFmtId="168" formatCode="_ * #,##0.000_ ;_ * \-#,##0.000_ ;_ * &quot;-&quot;??_ ;_ @_ "/>
    <numFmt numFmtId="169" formatCode="_ * #,##0.0_ ;_ * \-#,##0.0_ ;_ * &quot;-&quot;??_ ;_ @_ "/>
    <numFmt numFmtId="170" formatCode="_(* #,##0_);_(* \(#,##0\);_(* &quot;-&quot;??_);_(@_)"/>
    <numFmt numFmtId="171" formatCode="#\ ?/2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\R\T.\ \ 0%"/>
    <numFmt numFmtId="178" formatCode="\R\T\ \ \ 0%"/>
    <numFmt numFmtId="179" formatCode="\R.\T.\T\o\t\ \ \ 0%"/>
    <numFmt numFmtId="180" formatCode="\R\T\ \T\o\t\ \ \ 0%"/>
    <numFmt numFmtId="181" formatCode="mmmm\-yy"/>
    <numFmt numFmtId="182" formatCode="_ * #,##0_ ;_ * \-#,##0_ ;_ * &quot;-&quot;??_ ;_ @_ "/>
    <numFmt numFmtId="183" formatCode="\R\T\=\ \ \ \ \ 0%"/>
    <numFmt numFmtId="184" formatCode="dd\-mmm\-yy"/>
    <numFmt numFmtId="185" formatCode="0.0%"/>
    <numFmt numFmtId="186" formatCode="d\ mmmm\ yyyy"/>
    <numFmt numFmtId="187" formatCode="#,##0\ &quot;F&quot;;\-#,##0\ &quot;F&quot;"/>
    <numFmt numFmtId="188" formatCode="#,##0\ &quot;F&quot;;[Red]\-#,##0\ &quot;F&quot;"/>
    <numFmt numFmtId="189" formatCode="#,##0.00\ &quot;F&quot;;\-#,##0.00\ &quot;F&quot;"/>
    <numFmt numFmtId="190" formatCode="#,##0.00\ &quot;F&quot;;[Red]\-#,##0.00\ &quot;F&quot;"/>
    <numFmt numFmtId="191" formatCode="_-* #,##0\ &quot;F&quot;_-;\-* #,##0\ &quot;F&quot;_-;_-* &quot;-&quot;\ &quot;F&quot;_-;_-@_-"/>
    <numFmt numFmtId="192" formatCode="_-* #,##0\ _F_-;\-* #,##0\ _F_-;_-* &quot;-&quot;\ _F_-;_-@_-"/>
    <numFmt numFmtId="193" formatCode="_-* #,##0.00\ &quot;F&quot;_-;\-* #,##0.00\ &quot;F&quot;_-;_-* &quot;-&quot;??\ &quot;F&quot;_-;_-@_-"/>
    <numFmt numFmtId="194" formatCode="_-* #,##0.00\ _F_-;\-* #,##0.00\ _F_-;_-* &quot;-&quot;??\ _F_-;_-@_-"/>
    <numFmt numFmtId="195" formatCode="_ &quot;SFr.&quot;\ * #,##0.0_ ;_ &quot;SFr.&quot;\ * \-#,##0.0_ ;_ &quot;SFr.&quot;\ * &quot;-&quot;??_ ;_ @_ "/>
    <numFmt numFmtId="196" formatCode="_ &quot;SFr.&quot;\ * #,##0.000_ ;_ &quot;SFr.&quot;\ * \-#,##0.000_ ;_ &quot;SFr.&quot;\ * &quot;-&quot;??_ ;_ @_ "/>
    <numFmt numFmtId="197" formatCode="_ &quot;SFr.&quot;\ * #,##0.0000_ ;_ &quot;SFr.&quot;\ * \-#,##0.0000_ ;_ &quot;SFr.&quot;\ * &quot;-&quot;??_ ;_ @_ "/>
    <numFmt numFmtId="198" formatCode="_ &quot;SFr.&quot;\ * #,##0_ ;_ &quot;SFr.&quot;\ * \-#,##0_ ;_ &quot;SFr.&quot;\ * &quot;-&quot;??_ ;_ @_ "/>
    <numFmt numFmtId="199" formatCode="_ * #,##0.0000_ ;_ * \-#,##0.0000_ ;_ * &quot;-&quot;??_ ;_ @_ "/>
    <numFmt numFmtId="200" formatCode="_ * #,##0.00000_ ;_ * \-#,##0.00000_ ;_ * &quot;-&quot;??_ ;_ @_ "/>
    <numFmt numFmtId="201" formatCode="d\-mmm\-yy"/>
    <numFmt numFmtId="202" formatCode="d\-mmm"/>
  </numFmts>
  <fonts count="3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14"/>
      <name val="MS Sans Serif"/>
      <family val="2"/>
    </font>
    <font>
      <sz val="18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name val="MS Sans Serif"/>
      <family val="0"/>
    </font>
    <font>
      <b/>
      <sz val="8"/>
      <name val="Tahoma"/>
      <family val="0"/>
    </font>
    <font>
      <sz val="8"/>
      <name val="Tahoma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8.75"/>
      <name val="Arial"/>
      <family val="2"/>
    </font>
    <font>
      <sz val="8.75"/>
      <name val="Arial"/>
      <family val="0"/>
    </font>
    <font>
      <b/>
      <sz val="10.75"/>
      <name val="Arial"/>
      <family val="0"/>
    </font>
    <font>
      <b/>
      <sz val="11"/>
      <name val="Arial"/>
      <family val="2"/>
    </font>
    <font>
      <sz val="8"/>
      <color indexed="10"/>
      <name val="Times New Roman"/>
      <family val="1"/>
    </font>
    <font>
      <sz val="10"/>
      <name val="MS Sans Serif"/>
      <family val="0"/>
    </font>
    <font>
      <sz val="8"/>
      <name val="MS Sans Serif"/>
      <family val="0"/>
    </font>
    <font>
      <sz val="7"/>
      <name val="Times New Roman"/>
      <family val="1"/>
    </font>
    <font>
      <b/>
      <i/>
      <sz val="8"/>
      <name val="Tahoma"/>
      <family val="2"/>
    </font>
    <font>
      <i/>
      <sz val="8"/>
      <name val="Tahoma"/>
      <family val="2"/>
    </font>
    <font>
      <i/>
      <u val="single"/>
      <sz val="8"/>
      <name val="Tahoma"/>
      <family val="2"/>
    </font>
    <font>
      <b/>
      <sz val="7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gray0625"/>
    </fill>
    <fill>
      <patternFill patternType="solid">
        <fgColor indexed="9"/>
        <bgColor indexed="64"/>
      </patternFill>
    </fill>
    <fill>
      <patternFill patternType="lightDown"/>
    </fill>
    <fill>
      <patternFill patternType="gray0625">
        <fgColor indexed="9"/>
      </patternFill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9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2" borderId="0" xfId="0" applyFont="1" applyFill="1" applyBorder="1" applyAlignment="1">
      <alignment/>
    </xf>
    <xf numFmtId="0" fontId="2" fillId="0" borderId="3" xfId="0" applyFont="1" applyBorder="1" applyAlignment="1">
      <alignment/>
    </xf>
    <xf numFmtId="0" fontId="2" fillId="2" borderId="3" xfId="0" applyFont="1" applyFill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3" xfId="0" applyFont="1" applyBorder="1" applyAlignment="1">
      <alignment/>
    </xf>
    <xf numFmtId="0" fontId="1" fillId="2" borderId="3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165" fontId="2" fillId="0" borderId="2" xfId="0" applyNumberFormat="1" applyFont="1" applyBorder="1" applyAlignment="1">
      <alignment/>
    </xf>
    <xf numFmtId="165" fontId="2" fillId="0" borderId="0" xfId="0" applyNumberFormat="1" applyFont="1" applyBorder="1" applyAlignment="1">
      <alignment/>
    </xf>
    <xf numFmtId="0" fontId="2" fillId="0" borderId="0" xfId="0" applyFont="1" applyAlignment="1" quotePrefix="1">
      <alignment horizontal="left" vertical="top" wrapText="1"/>
    </xf>
    <xf numFmtId="0" fontId="3" fillId="0" borderId="0" xfId="0" applyFont="1" applyAlignment="1" quotePrefix="1">
      <alignment horizontal="left" vertical="center"/>
    </xf>
    <xf numFmtId="0" fontId="0" fillId="0" borderId="0" xfId="0" applyAlignment="1" quotePrefix="1">
      <alignment horizontal="left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top" wrapText="1"/>
    </xf>
    <xf numFmtId="0" fontId="6" fillId="0" borderId="0" xfId="0" applyFont="1" applyAlignment="1" quotePrefix="1">
      <alignment horizontal="left" vertical="top" wrapText="1"/>
    </xf>
    <xf numFmtId="0" fontId="2" fillId="0" borderId="1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Alignment="1">
      <alignment/>
    </xf>
    <xf numFmtId="0" fontId="0" fillId="0" borderId="9" xfId="0" applyBorder="1" applyAlignment="1">
      <alignment/>
    </xf>
    <xf numFmtId="0" fontId="9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1" fontId="2" fillId="0" borderId="0" xfId="0" applyNumberFormat="1" applyFont="1" applyBorder="1" applyAlignment="1">
      <alignment/>
    </xf>
    <xf numFmtId="1" fontId="1" fillId="0" borderId="10" xfId="15" applyNumberFormat="1" applyFont="1" applyBorder="1" applyAlignment="1">
      <alignment/>
    </xf>
    <xf numFmtId="0" fontId="1" fillId="0" borderId="0" xfId="0" applyFont="1" applyAlignment="1">
      <alignment wrapText="1"/>
    </xf>
    <xf numFmtId="0" fontId="1" fillId="0" borderId="5" xfId="0" applyFont="1" applyBorder="1" applyAlignment="1">
      <alignment wrapText="1"/>
    </xf>
    <xf numFmtId="17" fontId="2" fillId="0" borderId="0" xfId="0" applyNumberFormat="1" applyFont="1" applyAlignment="1">
      <alignment/>
    </xf>
    <xf numFmtId="164" fontId="2" fillId="0" borderId="0" xfId="15" applyNumberFormat="1" applyFont="1" applyAlignment="1">
      <alignment/>
    </xf>
    <xf numFmtId="164" fontId="2" fillId="0" borderId="3" xfId="15" applyNumberFormat="1" applyFont="1" applyBorder="1" applyAlignment="1">
      <alignment/>
    </xf>
    <xf numFmtId="0" fontId="1" fillId="0" borderId="0" xfId="0" applyNumberFormat="1" applyFont="1" applyAlignment="1">
      <alignment/>
    </xf>
    <xf numFmtId="164" fontId="1" fillId="0" borderId="0" xfId="15" applyNumberFormat="1" applyFont="1" applyAlignment="1">
      <alignment/>
    </xf>
    <xf numFmtId="164" fontId="2" fillId="0" borderId="0" xfId="15" applyNumberFormat="1" applyFont="1" applyBorder="1" applyAlignment="1">
      <alignment/>
    </xf>
    <xf numFmtId="17" fontId="1" fillId="0" borderId="0" xfId="0" applyNumberFormat="1" applyFont="1" applyAlignment="1">
      <alignment/>
    </xf>
    <xf numFmtId="164" fontId="2" fillId="0" borderId="0" xfId="15" applyNumberFormat="1" applyFont="1" applyBorder="1" applyAlignment="1">
      <alignment shrinkToFit="1"/>
    </xf>
    <xf numFmtId="164" fontId="2" fillId="0" borderId="0" xfId="0" applyNumberFormat="1" applyFont="1" applyAlignment="1">
      <alignment/>
    </xf>
    <xf numFmtId="164" fontId="2" fillId="0" borderId="5" xfId="15" applyNumberFormat="1" applyFont="1" applyBorder="1" applyAlignment="1">
      <alignment/>
    </xf>
    <xf numFmtId="164" fontId="2" fillId="0" borderId="9" xfId="15" applyNumberFormat="1" applyFont="1" applyBorder="1" applyAlignment="1">
      <alignment/>
    </xf>
    <xf numFmtId="164" fontId="2" fillId="0" borderId="6" xfId="15" applyNumberFormat="1" applyFont="1" applyBorder="1" applyAlignment="1">
      <alignment/>
    </xf>
    <xf numFmtId="164" fontId="2" fillId="0" borderId="7" xfId="15" applyNumberFormat="1" applyFont="1" applyBorder="1" applyAlignment="1">
      <alignment/>
    </xf>
    <xf numFmtId="0" fontId="2" fillId="0" borderId="10" xfId="0" applyFont="1" applyBorder="1" applyAlignment="1">
      <alignment/>
    </xf>
    <xf numFmtId="43" fontId="1" fillId="0" borderId="0" xfId="15" applyFont="1" applyAlignment="1">
      <alignment/>
    </xf>
    <xf numFmtId="43" fontId="2" fillId="0" borderId="0" xfId="15" applyFont="1" applyAlignment="1">
      <alignment/>
    </xf>
    <xf numFmtId="164" fontId="1" fillId="0" borderId="11" xfId="0" applyNumberFormat="1" applyFont="1" applyBorder="1" applyAlignment="1">
      <alignment/>
    </xf>
    <xf numFmtId="43" fontId="2" fillId="0" borderId="0" xfId="15" applyFont="1" applyBorder="1" applyAlignment="1">
      <alignment/>
    </xf>
    <xf numFmtId="43" fontId="1" fillId="0" borderId="0" xfId="15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0" borderId="9" xfId="0" applyFont="1" applyBorder="1" applyAlignment="1">
      <alignment/>
    </xf>
    <xf numFmtId="166" fontId="11" fillId="0" borderId="0" xfId="15" applyNumberFormat="1" applyFont="1" applyAlignment="1">
      <alignment/>
    </xf>
    <xf numFmtId="43" fontId="2" fillId="0" borderId="5" xfId="15" applyFont="1" applyBorder="1" applyAlignment="1">
      <alignment/>
    </xf>
    <xf numFmtId="43" fontId="2" fillId="0" borderId="0" xfId="15" applyFont="1" applyBorder="1" applyAlignment="1">
      <alignment/>
    </xf>
    <xf numFmtId="43" fontId="2" fillId="0" borderId="5" xfId="15" applyFont="1" applyBorder="1" applyAlignment="1">
      <alignment/>
    </xf>
    <xf numFmtId="43" fontId="16" fillId="0" borderId="0" xfId="15" applyFont="1" applyAlignment="1">
      <alignment/>
    </xf>
    <xf numFmtId="43" fontId="17" fillId="0" borderId="12" xfId="15" applyFont="1" applyBorder="1" applyAlignment="1">
      <alignment horizontal="center"/>
    </xf>
    <xf numFmtId="43" fontId="16" fillId="0" borderId="12" xfId="15" applyFont="1" applyBorder="1" applyAlignment="1">
      <alignment horizontal="center"/>
    </xf>
    <xf numFmtId="43" fontId="16" fillId="0" borderId="13" xfId="15" applyFont="1" applyBorder="1" applyAlignment="1">
      <alignment/>
    </xf>
    <xf numFmtId="43" fontId="17" fillId="0" borderId="14" xfId="15" applyFont="1" applyBorder="1" applyAlignment="1">
      <alignment horizontal="center"/>
    </xf>
    <xf numFmtId="43" fontId="16" fillId="0" borderId="0" xfId="15" applyFont="1" applyAlignment="1">
      <alignment horizontal="center"/>
    </xf>
    <xf numFmtId="43" fontId="16" fillId="0" borderId="15" xfId="15" applyFont="1" applyBorder="1" applyAlignment="1">
      <alignment horizontal="center"/>
    </xf>
    <xf numFmtId="43" fontId="16" fillId="0" borderId="3" xfId="15" applyFont="1" applyBorder="1" applyAlignment="1">
      <alignment/>
    </xf>
    <xf numFmtId="43" fontId="16" fillId="0" borderId="16" xfId="15" applyFont="1" applyBorder="1" applyAlignment="1">
      <alignment horizontal="center"/>
    </xf>
    <xf numFmtId="43" fontId="16" fillId="0" borderId="17" xfId="15" applyFont="1" applyBorder="1" applyAlignment="1">
      <alignment horizontal="center"/>
    </xf>
    <xf numFmtId="43" fontId="17" fillId="0" borderId="17" xfId="15" applyFont="1" applyBorder="1" applyAlignment="1">
      <alignment/>
    </xf>
    <xf numFmtId="43" fontId="16" fillId="0" borderId="17" xfId="15" applyFont="1" applyBorder="1" applyAlignment="1">
      <alignment/>
    </xf>
    <xf numFmtId="43" fontId="17" fillId="0" borderId="9" xfId="15" applyFont="1" applyBorder="1" applyAlignment="1">
      <alignment/>
    </xf>
    <xf numFmtId="43" fontId="16" fillId="0" borderId="0" xfId="15" applyFont="1" applyBorder="1" applyAlignment="1">
      <alignment/>
    </xf>
    <xf numFmtId="43" fontId="16" fillId="0" borderId="9" xfId="15" applyFont="1" applyBorder="1" applyAlignment="1">
      <alignment/>
    </xf>
    <xf numFmtId="43" fontId="16" fillId="0" borderId="4" xfId="15" applyFont="1" applyBorder="1" applyAlignment="1">
      <alignment horizontal="center"/>
    </xf>
    <xf numFmtId="43" fontId="16" fillId="0" borderId="10" xfId="15" applyFont="1" applyBorder="1" applyAlignment="1">
      <alignment horizontal="center"/>
    </xf>
    <xf numFmtId="43" fontId="16" fillId="0" borderId="5" xfId="15" applyFont="1" applyBorder="1" applyAlignment="1">
      <alignment/>
    </xf>
    <xf numFmtId="43" fontId="16" fillId="0" borderId="1" xfId="15" applyFont="1" applyBorder="1" applyAlignment="1">
      <alignment horizontal="center"/>
    </xf>
    <xf numFmtId="43" fontId="16" fillId="0" borderId="12" xfId="15" applyFont="1" applyBorder="1" applyAlignment="1">
      <alignment/>
    </xf>
    <xf numFmtId="43" fontId="16" fillId="0" borderId="0" xfId="15" applyFont="1" applyAlignment="1">
      <alignment/>
    </xf>
    <xf numFmtId="43" fontId="17" fillId="0" borderId="0" xfId="15" applyFont="1" applyAlignment="1">
      <alignment/>
    </xf>
    <xf numFmtId="43" fontId="18" fillId="0" borderId="0" xfId="15" applyFont="1" applyAlignment="1">
      <alignment horizontal="center" vertical="center"/>
    </xf>
    <xf numFmtId="43" fontId="17" fillId="0" borderId="10" xfId="15" applyFont="1" applyBorder="1" applyAlignment="1">
      <alignment horizontal="center"/>
    </xf>
    <xf numFmtId="43" fontId="17" fillId="0" borderId="15" xfId="15" applyFont="1" applyBorder="1" applyAlignment="1">
      <alignment horizontal="center"/>
    </xf>
    <xf numFmtId="43" fontId="17" fillId="0" borderId="4" xfId="15" applyFont="1" applyBorder="1" applyAlignment="1">
      <alignment horizontal="center"/>
    </xf>
    <xf numFmtId="43" fontId="17" fillId="0" borderId="1" xfId="15" applyFont="1" applyBorder="1" applyAlignment="1">
      <alignment horizontal="center"/>
    </xf>
    <xf numFmtId="43" fontId="19" fillId="0" borderId="0" xfId="15" applyFont="1" applyAlignment="1">
      <alignment wrapText="1"/>
    </xf>
    <xf numFmtId="14" fontId="2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3" xfId="0" applyBorder="1" applyAlignment="1">
      <alignment/>
    </xf>
    <xf numFmtId="43" fontId="1" fillId="0" borderId="5" xfId="15" applyFont="1" applyBorder="1" applyAlignment="1">
      <alignment/>
    </xf>
    <xf numFmtId="43" fontId="16" fillId="0" borderId="0" xfId="15" applyFont="1" applyAlignment="1">
      <alignment horizontal="right"/>
    </xf>
    <xf numFmtId="0" fontId="8" fillId="0" borderId="1" xfId="0" applyFont="1" applyBorder="1" applyAlignment="1">
      <alignment/>
    </xf>
    <xf numFmtId="43" fontId="16" fillId="0" borderId="7" xfId="15" applyFont="1" applyBorder="1" applyAlignment="1">
      <alignment/>
    </xf>
    <xf numFmtId="43" fontId="16" fillId="0" borderId="1" xfId="15" applyFont="1" applyBorder="1" applyAlignment="1">
      <alignment/>
    </xf>
    <xf numFmtId="43" fontId="17" fillId="0" borderId="1" xfId="15" applyFont="1" applyBorder="1" applyAlignment="1">
      <alignment/>
    </xf>
    <xf numFmtId="43" fontId="17" fillId="0" borderId="1" xfId="15" applyFont="1" applyBorder="1" applyAlignment="1">
      <alignment/>
    </xf>
    <xf numFmtId="43" fontId="16" fillId="0" borderId="18" xfId="15" applyFont="1" applyBorder="1" applyAlignment="1">
      <alignment/>
    </xf>
    <xf numFmtId="43" fontId="16" fillId="0" borderId="19" xfId="15" applyFont="1" applyBorder="1" applyAlignment="1">
      <alignment/>
    </xf>
    <xf numFmtId="43" fontId="16" fillId="0" borderId="20" xfId="15" applyFont="1" applyBorder="1" applyAlignment="1">
      <alignment/>
    </xf>
    <xf numFmtId="43" fontId="16" fillId="0" borderId="21" xfId="15" applyFont="1" applyBorder="1" applyAlignment="1">
      <alignment/>
    </xf>
    <xf numFmtId="43" fontId="16" fillId="0" borderId="22" xfId="15" applyFont="1" applyBorder="1" applyAlignment="1">
      <alignment/>
    </xf>
    <xf numFmtId="43" fontId="17" fillId="0" borderId="23" xfId="15" applyFont="1" applyBorder="1" applyAlignment="1">
      <alignment vertical="justify"/>
    </xf>
    <xf numFmtId="43" fontId="17" fillId="0" borderId="24" xfId="15" applyFont="1" applyBorder="1" applyAlignment="1">
      <alignment/>
    </xf>
    <xf numFmtId="43" fontId="17" fillId="0" borderId="20" xfId="15" applyFont="1" applyBorder="1" applyAlignment="1">
      <alignment/>
    </xf>
    <xf numFmtId="43" fontId="11" fillId="0" borderId="23" xfId="15" applyFont="1" applyBorder="1" applyAlignment="1">
      <alignment/>
    </xf>
    <xf numFmtId="43" fontId="16" fillId="0" borderId="15" xfId="15" applyFont="1" applyBorder="1" applyAlignment="1">
      <alignment/>
    </xf>
    <xf numFmtId="0" fontId="1" fillId="0" borderId="2" xfId="0" applyFont="1" applyBorder="1" applyAlignment="1">
      <alignment/>
    </xf>
    <xf numFmtId="0" fontId="2" fillId="3" borderId="0" xfId="0" applyFont="1" applyFill="1" applyBorder="1" applyAlignment="1">
      <alignment/>
    </xf>
    <xf numFmtId="0" fontId="1" fillId="3" borderId="5" xfId="0" applyFont="1" applyFill="1" applyBorder="1" applyAlignment="1">
      <alignment/>
    </xf>
    <xf numFmtId="0" fontId="2" fillId="0" borderId="25" xfId="0" applyFont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43" fontId="0" fillId="0" borderId="0" xfId="15" applyAlignment="1">
      <alignment/>
    </xf>
    <xf numFmtId="43" fontId="17" fillId="0" borderId="0" xfId="15" applyFont="1" applyAlignment="1">
      <alignment horizontal="left"/>
    </xf>
    <xf numFmtId="0" fontId="2" fillId="0" borderId="17" xfId="0" applyFont="1" applyBorder="1" applyAlignment="1">
      <alignment/>
    </xf>
    <xf numFmtId="43" fontId="2" fillId="0" borderId="0" xfId="15" applyFont="1" applyAlignment="1">
      <alignment horizontal="center"/>
    </xf>
    <xf numFmtId="182" fontId="11" fillId="0" borderId="1" xfId="15" applyNumberFormat="1" applyFont="1" applyBorder="1" applyAlignment="1">
      <alignment wrapText="1"/>
    </xf>
    <xf numFmtId="182" fontId="12" fillId="0" borderId="1" xfId="15" applyNumberFormat="1" applyFont="1" applyBorder="1" applyAlignment="1">
      <alignment wrapText="1"/>
    </xf>
    <xf numFmtId="182" fontId="11" fillId="0" borderId="0" xfId="15" applyNumberFormat="1" applyFont="1" applyBorder="1" applyAlignment="1">
      <alignment/>
    </xf>
    <xf numFmtId="182" fontId="11" fillId="0" borderId="0" xfId="15" applyNumberFormat="1" applyFont="1" applyAlignment="1">
      <alignment/>
    </xf>
    <xf numFmtId="182" fontId="11" fillId="0" borderId="0" xfId="15" applyNumberFormat="1" applyFont="1" applyBorder="1" applyAlignment="1">
      <alignment wrapText="1"/>
    </xf>
    <xf numFmtId="182" fontId="11" fillId="0" borderId="0" xfId="15" applyNumberFormat="1" applyFont="1" applyAlignment="1">
      <alignment horizontal="center"/>
    </xf>
    <xf numFmtId="182" fontId="11" fillId="0" borderId="15" xfId="15" applyNumberFormat="1" applyFont="1" applyBorder="1" applyAlignment="1">
      <alignment/>
    </xf>
    <xf numFmtId="182" fontId="12" fillId="0" borderId="0" xfId="15" applyNumberFormat="1" applyFont="1" applyAlignment="1">
      <alignment/>
    </xf>
    <xf numFmtId="182" fontId="11" fillId="0" borderId="0" xfId="23" applyNumberFormat="1" applyFont="1" applyAlignment="1">
      <alignment/>
    </xf>
    <xf numFmtId="182" fontId="17" fillId="0" borderId="0" xfId="15" applyNumberFormat="1" applyFont="1" applyAlignment="1" applyProtection="1">
      <alignment/>
      <protection/>
    </xf>
    <xf numFmtId="182" fontId="12" fillId="0" borderId="0" xfId="15" applyNumberFormat="1" applyFont="1" applyBorder="1" applyAlignment="1">
      <alignment/>
    </xf>
    <xf numFmtId="182" fontId="11" fillId="0" borderId="3" xfId="15" applyNumberFormat="1" applyFont="1" applyBorder="1" applyAlignment="1">
      <alignment/>
    </xf>
    <xf numFmtId="182" fontId="11" fillId="0" borderId="0" xfId="15" applyNumberFormat="1" applyFont="1" applyAlignment="1" applyProtection="1">
      <alignment/>
      <protection/>
    </xf>
    <xf numFmtId="182" fontId="11" fillId="0" borderId="0" xfId="15" applyNumberFormat="1" applyFont="1" applyBorder="1" applyAlignment="1">
      <alignment horizontal="center"/>
    </xf>
    <xf numFmtId="182" fontId="11" fillId="0" borderId="0" xfId="15" applyNumberFormat="1" applyFont="1" applyBorder="1" applyAlignment="1">
      <alignment horizontal="left"/>
    </xf>
    <xf numFmtId="182" fontId="11" fillId="2" borderId="0" xfId="15" applyNumberFormat="1" applyFont="1" applyFill="1" applyAlignment="1">
      <alignment/>
    </xf>
    <xf numFmtId="182" fontId="11" fillId="0" borderId="0" xfId="15" applyNumberFormat="1" applyFont="1" applyFill="1" applyAlignment="1">
      <alignment/>
    </xf>
    <xf numFmtId="182" fontId="12" fillId="4" borderId="17" xfId="15" applyNumberFormat="1" applyFont="1" applyFill="1" applyBorder="1" applyAlignment="1">
      <alignment/>
    </xf>
    <xf numFmtId="182" fontId="11" fillId="0" borderId="0" xfId="15" applyNumberFormat="1" applyFont="1" applyFill="1" applyBorder="1" applyAlignment="1">
      <alignment/>
    </xf>
    <xf numFmtId="182" fontId="11" fillId="0" borderId="10" xfId="15" applyNumberFormat="1" applyFont="1" applyBorder="1" applyAlignment="1">
      <alignment/>
    </xf>
    <xf numFmtId="182" fontId="11" fillId="0" borderId="17" xfId="15" applyNumberFormat="1" applyFont="1" applyBorder="1" applyAlignment="1">
      <alignment/>
    </xf>
    <xf numFmtId="182" fontId="2" fillId="0" borderId="0" xfId="15" applyNumberFormat="1" applyFont="1" applyBorder="1" applyAlignment="1">
      <alignment/>
    </xf>
    <xf numFmtId="182" fontId="11" fillId="0" borderId="4" xfId="15" applyNumberFormat="1" applyFont="1" applyBorder="1" applyAlignment="1">
      <alignment/>
    </xf>
    <xf numFmtId="182" fontId="11" fillId="0" borderId="14" xfId="15" applyNumberFormat="1" applyFont="1" applyBorder="1" applyAlignment="1">
      <alignment/>
    </xf>
    <xf numFmtId="182" fontId="11" fillId="0" borderId="16" xfId="15" applyNumberFormat="1" applyFont="1" applyBorder="1" applyAlignment="1">
      <alignment/>
    </xf>
    <xf numFmtId="182" fontId="12" fillId="0" borderId="3" xfId="15" applyNumberFormat="1" applyFont="1" applyBorder="1" applyAlignment="1">
      <alignment/>
    </xf>
    <xf numFmtId="182" fontId="11" fillId="0" borderId="5" xfId="15" applyNumberFormat="1" applyFont="1" applyFill="1" applyBorder="1" applyAlignment="1">
      <alignment/>
    </xf>
    <xf numFmtId="182" fontId="11" fillId="0" borderId="5" xfId="15" applyNumberFormat="1" applyFont="1" applyBorder="1" applyAlignment="1">
      <alignment/>
    </xf>
    <xf numFmtId="182" fontId="12" fillId="0" borderId="6" xfId="15" applyNumberFormat="1" applyFont="1" applyBorder="1" applyAlignment="1">
      <alignment/>
    </xf>
    <xf numFmtId="182" fontId="11" fillId="0" borderId="4" xfId="15" applyNumberFormat="1" applyFont="1" applyBorder="1" applyAlignment="1">
      <alignment horizontal="left"/>
    </xf>
    <xf numFmtId="182" fontId="6" fillId="0" borderId="0" xfId="0" applyNumberFormat="1" applyFont="1" applyAlignment="1">
      <alignment/>
    </xf>
    <xf numFmtId="182" fontId="12" fillId="0" borderId="10" xfId="15" applyNumberFormat="1" applyFont="1" applyBorder="1" applyAlignment="1">
      <alignment/>
    </xf>
    <xf numFmtId="182" fontId="11" fillId="0" borderId="12" xfId="15" applyNumberFormat="1" applyFont="1" applyBorder="1" applyAlignment="1">
      <alignment/>
    </xf>
    <xf numFmtId="182" fontId="11" fillId="0" borderId="6" xfId="15" applyNumberFormat="1" applyFont="1" applyFill="1" applyBorder="1" applyAlignment="1">
      <alignment/>
    </xf>
    <xf numFmtId="182" fontId="12" fillId="0" borderId="1" xfId="15" applyNumberFormat="1" applyFont="1" applyFill="1" applyBorder="1" applyAlignment="1">
      <alignment/>
    </xf>
    <xf numFmtId="182" fontId="12" fillId="0" borderId="7" xfId="15" applyNumberFormat="1" applyFont="1" applyFill="1" applyBorder="1" applyAlignment="1">
      <alignment/>
    </xf>
    <xf numFmtId="182" fontId="12" fillId="0" borderId="1" xfId="15" applyNumberFormat="1" applyFont="1" applyBorder="1" applyAlignment="1">
      <alignment/>
    </xf>
    <xf numFmtId="182" fontId="12" fillId="2" borderId="0" xfId="15" applyNumberFormat="1" applyFont="1" applyFill="1" applyAlignment="1">
      <alignment/>
    </xf>
    <xf numFmtId="182" fontId="11" fillId="2" borderId="4" xfId="15" applyNumberFormat="1" applyFont="1" applyFill="1" applyBorder="1" applyAlignment="1">
      <alignment/>
    </xf>
    <xf numFmtId="182" fontId="11" fillId="2" borderId="4" xfId="15" applyNumberFormat="1" applyFont="1" applyFill="1" applyBorder="1" applyAlignment="1">
      <alignment horizontal="left"/>
    </xf>
    <xf numFmtId="182" fontId="12" fillId="0" borderId="5" xfId="15" applyNumberFormat="1" applyFont="1" applyBorder="1" applyAlignment="1">
      <alignment/>
    </xf>
    <xf numFmtId="182" fontId="11" fillId="0" borderId="13" xfId="15" applyNumberFormat="1" applyFont="1" applyBorder="1" applyAlignment="1">
      <alignment/>
    </xf>
    <xf numFmtId="182" fontId="11" fillId="0" borderId="9" xfId="15" applyNumberFormat="1" applyFont="1" applyBorder="1" applyAlignment="1">
      <alignment/>
    </xf>
    <xf numFmtId="182" fontId="12" fillId="0" borderId="0" xfId="15" applyNumberFormat="1" applyFont="1" applyAlignment="1">
      <alignment/>
    </xf>
    <xf numFmtId="182" fontId="12" fillId="0" borderId="16" xfId="15" applyNumberFormat="1" applyFont="1" applyBorder="1" applyAlignment="1">
      <alignment/>
    </xf>
    <xf numFmtId="182" fontId="12" fillId="0" borderId="0" xfId="15" applyNumberFormat="1" applyFont="1" applyFill="1" applyAlignment="1">
      <alignment/>
    </xf>
    <xf numFmtId="43" fontId="17" fillId="0" borderId="26" xfId="15" applyFont="1" applyBorder="1" applyAlignment="1">
      <alignment/>
    </xf>
    <xf numFmtId="43" fontId="17" fillId="0" borderId="3" xfId="15" applyFont="1" applyBorder="1" applyAlignment="1">
      <alignment/>
    </xf>
    <xf numFmtId="182" fontId="2" fillId="0" borderId="0" xfId="15" applyNumberFormat="1" applyFont="1" applyAlignment="1">
      <alignment/>
    </xf>
    <xf numFmtId="182" fontId="2" fillId="0" borderId="5" xfId="15" applyNumberFormat="1" applyFont="1" applyBorder="1" applyAlignment="1">
      <alignment/>
    </xf>
    <xf numFmtId="182" fontId="2" fillId="0" borderId="17" xfId="15" applyNumberFormat="1" applyFont="1" applyBorder="1" applyAlignment="1">
      <alignment/>
    </xf>
    <xf numFmtId="182" fontId="1" fillId="0" borderId="6" xfId="15" applyNumberFormat="1" applyFont="1" applyBorder="1" applyAlignment="1">
      <alignment/>
    </xf>
    <xf numFmtId="182" fontId="1" fillId="0" borderId="1" xfId="15" applyNumberFormat="1" applyFont="1" applyBorder="1" applyAlignment="1">
      <alignment/>
    </xf>
    <xf numFmtId="182" fontId="1" fillId="0" borderId="0" xfId="15" applyNumberFormat="1" applyFont="1" applyAlignment="1">
      <alignment/>
    </xf>
    <xf numFmtId="182" fontId="6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1" fillId="3" borderId="0" xfId="0" applyFont="1" applyFill="1" applyBorder="1" applyAlignment="1">
      <alignment/>
    </xf>
    <xf numFmtId="0" fontId="2" fillId="0" borderId="16" xfId="0" applyFont="1" applyBorder="1" applyAlignment="1">
      <alignment/>
    </xf>
    <xf numFmtId="0" fontId="1" fillId="0" borderId="4" xfId="0" applyFont="1" applyBorder="1" applyAlignment="1">
      <alignment/>
    </xf>
    <xf numFmtId="0" fontId="2" fillId="3" borderId="5" xfId="0" applyFont="1" applyFill="1" applyBorder="1" applyAlignment="1">
      <alignment/>
    </xf>
    <xf numFmtId="182" fontId="11" fillId="0" borderId="5" xfId="15" applyNumberFormat="1" applyFont="1" applyBorder="1" applyAlignment="1">
      <alignment/>
    </xf>
    <xf numFmtId="182" fontId="11" fillId="0" borderId="7" xfId="15" applyNumberFormat="1" applyFont="1" applyFill="1" applyBorder="1" applyAlignment="1">
      <alignment/>
    </xf>
    <xf numFmtId="166" fontId="12" fillId="0" borderId="0" xfId="15" applyNumberFormat="1" applyFont="1" applyAlignment="1">
      <alignment/>
    </xf>
    <xf numFmtId="182" fontId="12" fillId="3" borderId="10" xfId="15" applyNumberFormat="1" applyFont="1" applyFill="1" applyBorder="1" applyAlignment="1">
      <alignment/>
    </xf>
    <xf numFmtId="182" fontId="12" fillId="3" borderId="15" xfId="15" applyNumberFormat="1" applyFont="1" applyFill="1" applyBorder="1" applyAlignment="1">
      <alignment/>
    </xf>
    <xf numFmtId="182" fontId="12" fillId="3" borderId="3" xfId="15" applyNumberFormat="1" applyFont="1" applyFill="1" applyBorder="1" applyAlignment="1">
      <alignment/>
    </xf>
    <xf numFmtId="182" fontId="12" fillId="3" borderId="16" xfId="15" applyNumberFormat="1" applyFont="1" applyFill="1" applyBorder="1" applyAlignment="1">
      <alignment/>
    </xf>
    <xf numFmtId="0" fontId="2" fillId="0" borderId="0" xfId="15" applyNumberFormat="1" applyFont="1" applyAlignment="1">
      <alignment/>
    </xf>
    <xf numFmtId="0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2" fillId="0" borderId="0" xfId="15" applyNumberFormat="1" applyFont="1" applyAlignment="1">
      <alignment/>
    </xf>
    <xf numFmtId="2" fontId="1" fillId="0" borderId="0" xfId="0" applyNumberFormat="1" applyFont="1" applyAlignment="1">
      <alignment/>
    </xf>
    <xf numFmtId="182" fontId="11" fillId="0" borderId="1" xfId="15" applyNumberFormat="1" applyFont="1" applyBorder="1" applyAlignment="1">
      <alignment/>
    </xf>
    <xf numFmtId="182" fontId="19" fillId="0" borderId="1" xfId="15" applyNumberFormat="1" applyFont="1" applyBorder="1" applyAlignment="1">
      <alignment/>
    </xf>
    <xf numFmtId="182" fontId="19" fillId="0" borderId="1" xfId="15" applyNumberFormat="1" applyFont="1" applyBorder="1" applyAlignment="1">
      <alignment horizontal="center"/>
    </xf>
    <xf numFmtId="182" fontId="11" fillId="0" borderId="0" xfId="15" applyNumberFormat="1" applyFont="1" applyAlignment="1">
      <alignment/>
    </xf>
    <xf numFmtId="43" fontId="16" fillId="0" borderId="5" xfId="15" applyFont="1" applyBorder="1" applyAlignment="1">
      <alignment horizontal="center"/>
    </xf>
    <xf numFmtId="183" fontId="11" fillId="0" borderId="0" xfId="23" applyNumberFormat="1" applyFont="1" applyAlignment="1">
      <alignment/>
    </xf>
    <xf numFmtId="182" fontId="12" fillId="2" borderId="0" xfId="15" applyNumberFormat="1" applyFont="1" applyFill="1" applyAlignment="1">
      <alignment horizontal="right"/>
    </xf>
    <xf numFmtId="182" fontId="12" fillId="2" borderId="0" xfId="15" applyNumberFormat="1" applyFont="1" applyFill="1" applyAlignment="1">
      <alignment/>
    </xf>
    <xf numFmtId="182" fontId="12" fillId="2" borderId="6" xfId="15" applyNumberFormat="1" applyFont="1" applyFill="1" applyBorder="1" applyAlignment="1">
      <alignment horizontal="right"/>
    </xf>
    <xf numFmtId="184" fontId="11" fillId="0" borderId="0" xfId="15" applyNumberFormat="1" applyFont="1" applyAlignment="1">
      <alignment/>
    </xf>
    <xf numFmtId="182" fontId="17" fillId="0" borderId="27" xfId="15" applyNumberFormat="1" applyFont="1" applyBorder="1" applyAlignment="1">
      <alignment/>
    </xf>
    <xf numFmtId="182" fontId="12" fillId="0" borderId="0" xfId="15" applyNumberFormat="1" applyFont="1" applyBorder="1" applyAlignment="1">
      <alignment/>
    </xf>
    <xf numFmtId="182" fontId="25" fillId="0" borderId="0" xfId="15" applyNumberFormat="1" applyFont="1" applyBorder="1" applyAlignment="1">
      <alignment/>
    </xf>
    <xf numFmtId="0" fontId="11" fillId="0" borderId="0" xfId="15" applyNumberFormat="1" applyFont="1" applyAlignment="1">
      <alignment/>
    </xf>
    <xf numFmtId="43" fontId="11" fillId="0" borderId="0" xfId="15" applyFont="1" applyAlignment="1">
      <alignment/>
    </xf>
    <xf numFmtId="43" fontId="16" fillId="0" borderId="0" xfId="15" applyFont="1" applyAlignment="1">
      <alignment horizontal="left"/>
    </xf>
    <xf numFmtId="43" fontId="16" fillId="0" borderId="28" xfId="15" applyFont="1" applyBorder="1" applyAlignment="1">
      <alignment/>
    </xf>
    <xf numFmtId="182" fontId="12" fillId="0" borderId="6" xfId="15" applyNumberFormat="1" applyFont="1" applyBorder="1" applyAlignment="1">
      <alignment/>
    </xf>
    <xf numFmtId="182" fontId="11" fillId="0" borderId="8" xfId="15" applyNumberFormat="1" applyFont="1" applyBorder="1" applyAlignment="1">
      <alignment/>
    </xf>
    <xf numFmtId="43" fontId="2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0" fillId="0" borderId="15" xfId="0" applyBorder="1" applyAlignment="1">
      <alignment/>
    </xf>
    <xf numFmtId="0" fontId="0" fillId="0" borderId="12" xfId="0" applyBorder="1" applyAlignment="1">
      <alignment horizontal="center"/>
    </xf>
    <xf numFmtId="0" fontId="0" fillId="3" borderId="0" xfId="0" applyFill="1" applyAlignment="1">
      <alignment/>
    </xf>
    <xf numFmtId="0" fontId="8" fillId="0" borderId="1" xfId="0" applyFont="1" applyBorder="1" applyAlignment="1">
      <alignment horizontal="center"/>
    </xf>
    <xf numFmtId="0" fontId="8" fillId="5" borderId="0" xfId="0" applyFont="1" applyFill="1" applyAlignment="1">
      <alignment horizontal="center"/>
    </xf>
    <xf numFmtId="0" fontId="0" fillId="0" borderId="4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0" fillId="0" borderId="5" xfId="0" applyBorder="1" applyAlignment="1">
      <alignment/>
    </xf>
    <xf numFmtId="0" fontId="0" fillId="3" borderId="5" xfId="0" applyFill="1" applyBorder="1" applyAlignment="1">
      <alignment/>
    </xf>
    <xf numFmtId="0" fontId="7" fillId="0" borderId="0" xfId="0" applyFont="1" applyAlignment="1">
      <alignment/>
    </xf>
    <xf numFmtId="184" fontId="0" fillId="0" borderId="0" xfId="0" applyNumberFormat="1" applyAlignment="1">
      <alignment/>
    </xf>
    <xf numFmtId="0" fontId="0" fillId="0" borderId="0" xfId="0" applyFont="1" applyAlignment="1">
      <alignment/>
    </xf>
    <xf numFmtId="0" fontId="8" fillId="0" borderId="0" xfId="0" applyFont="1" applyBorder="1" applyAlignment="1">
      <alignment/>
    </xf>
    <xf numFmtId="0" fontId="0" fillId="0" borderId="1" xfId="0" applyBorder="1" applyAlignment="1">
      <alignment/>
    </xf>
    <xf numFmtId="0" fontId="8" fillId="3" borderId="0" xfId="0" applyFont="1" applyFill="1" applyAlignment="1">
      <alignment/>
    </xf>
    <xf numFmtId="0" fontId="8" fillId="3" borderId="5" xfId="0" applyFont="1" applyFill="1" applyBorder="1" applyAlignment="1">
      <alignment/>
    </xf>
    <xf numFmtId="0" fontId="8" fillId="3" borderId="0" xfId="0" applyFont="1" applyFill="1" applyBorder="1" applyAlignment="1">
      <alignment/>
    </xf>
    <xf numFmtId="182" fontId="20" fillId="0" borderId="0" xfId="15" applyNumberFormat="1" applyFont="1" applyBorder="1" applyAlignment="1">
      <alignment/>
    </xf>
    <xf numFmtId="182" fontId="12" fillId="0" borderId="0" xfId="15" applyNumberFormat="1" applyFont="1" applyBorder="1" applyAlignment="1">
      <alignment horizontal="left"/>
    </xf>
    <xf numFmtId="1" fontId="11" fillId="0" borderId="0" xfId="15" applyNumberFormat="1" applyFont="1" applyAlignment="1">
      <alignment/>
    </xf>
    <xf numFmtId="43" fontId="17" fillId="0" borderId="4" xfId="15" applyFont="1" applyBorder="1" applyAlignment="1">
      <alignment/>
    </xf>
    <xf numFmtId="43" fontId="16" fillId="0" borderId="14" xfId="15" applyFont="1" applyBorder="1" applyAlignment="1">
      <alignment/>
    </xf>
    <xf numFmtId="43" fontId="17" fillId="0" borderId="10" xfId="15" applyFont="1" applyBorder="1" applyAlignment="1">
      <alignment/>
    </xf>
    <xf numFmtId="43" fontId="17" fillId="0" borderId="12" xfId="15" applyFont="1" applyBorder="1" applyAlignment="1">
      <alignment/>
    </xf>
    <xf numFmtId="43" fontId="17" fillId="0" borderId="15" xfId="15" applyFont="1" applyBorder="1" applyAlignment="1">
      <alignment/>
    </xf>
    <xf numFmtId="0" fontId="1" fillId="0" borderId="17" xfId="0" applyFont="1" applyBorder="1" applyAlignment="1">
      <alignment/>
    </xf>
    <xf numFmtId="182" fontId="11" fillId="0" borderId="29" xfId="15" applyNumberFormat="1" applyFont="1" applyFill="1" applyBorder="1" applyAlignment="1">
      <alignment/>
    </xf>
    <xf numFmtId="182" fontId="12" fillId="4" borderId="30" xfId="15" applyNumberFormat="1" applyFont="1" applyFill="1" applyBorder="1" applyAlignment="1">
      <alignment/>
    </xf>
    <xf numFmtId="182" fontId="12" fillId="0" borderId="31" xfId="15" applyNumberFormat="1" applyFont="1" applyBorder="1" applyAlignment="1">
      <alignment horizontal="right"/>
    </xf>
    <xf numFmtId="182" fontId="17" fillId="0" borderId="1" xfId="15" applyNumberFormat="1" applyFont="1" applyBorder="1" applyAlignment="1">
      <alignment/>
    </xf>
    <xf numFmtId="182" fontId="12" fillId="0" borderId="1" xfId="15" applyNumberFormat="1" applyFont="1" applyBorder="1" applyAlignment="1">
      <alignment horizontal="center" wrapText="1"/>
    </xf>
    <xf numFmtId="182" fontId="11" fillId="0" borderId="12" xfId="15" applyNumberFormat="1" applyFont="1" applyBorder="1" applyAlignment="1">
      <alignment wrapText="1"/>
    </xf>
    <xf numFmtId="182" fontId="12" fillId="0" borderId="0" xfId="23" applyNumberFormat="1" applyFont="1" applyAlignment="1">
      <alignment/>
    </xf>
    <xf numFmtId="182" fontId="17" fillId="2" borderId="0" xfId="15" applyNumberFormat="1" applyFont="1" applyFill="1" applyAlignment="1">
      <alignment/>
    </xf>
    <xf numFmtId="182" fontId="11" fillId="0" borderId="2" xfId="15" applyNumberFormat="1" applyFont="1" applyBorder="1" applyAlignment="1">
      <alignment/>
    </xf>
    <xf numFmtId="182" fontId="11" fillId="0" borderId="10" xfId="15" applyNumberFormat="1" applyFont="1" applyBorder="1" applyAlignment="1">
      <alignment horizontal="right"/>
    </xf>
    <xf numFmtId="182" fontId="12" fillId="2" borderId="0" xfId="15" applyNumberFormat="1" applyFont="1" applyFill="1" applyAlignment="1">
      <alignment horizontal="center"/>
    </xf>
    <xf numFmtId="0" fontId="5" fillId="0" borderId="13" xfId="0" applyFont="1" applyBorder="1" applyAlignment="1">
      <alignment/>
    </xf>
    <xf numFmtId="0" fontId="26" fillId="0" borderId="13" xfId="0" applyFont="1" applyBorder="1" applyAlignment="1">
      <alignment/>
    </xf>
    <xf numFmtId="0" fontId="5" fillId="0" borderId="13" xfId="0" applyFont="1" applyBorder="1" applyAlignment="1" quotePrefix="1">
      <alignment horizontal="left"/>
    </xf>
    <xf numFmtId="0" fontId="26" fillId="0" borderId="0" xfId="0" applyFont="1" applyAlignment="1">
      <alignment/>
    </xf>
    <xf numFmtId="0" fontId="5" fillId="0" borderId="0" xfId="0" applyFont="1" applyAlignment="1">
      <alignment/>
    </xf>
    <xf numFmtId="0" fontId="2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 quotePrefix="1">
      <alignment horizontal="left"/>
    </xf>
    <xf numFmtId="0" fontId="26" fillId="0" borderId="0" xfId="0" applyFont="1" applyFill="1" applyBorder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Alignment="1">
      <alignment/>
    </xf>
    <xf numFmtId="0" fontId="5" fillId="0" borderId="5" xfId="0" applyFont="1" applyBorder="1" applyAlignment="1" quotePrefix="1">
      <alignment horizontal="left"/>
    </xf>
    <xf numFmtId="0" fontId="27" fillId="1" borderId="0" xfId="0" applyFont="1" applyFill="1" applyBorder="1" applyAlignment="1">
      <alignment/>
    </xf>
    <xf numFmtId="0" fontId="27" fillId="0" borderId="0" xfId="0" applyFont="1" applyAlignment="1">
      <alignment/>
    </xf>
    <xf numFmtId="0" fontId="27" fillId="0" borderId="5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0" xfId="0" applyFont="1" applyAlignment="1">
      <alignment horizontal="left"/>
    </xf>
    <xf numFmtId="0" fontId="27" fillId="0" borderId="0" xfId="0" applyFont="1" applyAlignment="1" quotePrefix="1">
      <alignment horizontal="left"/>
    </xf>
    <xf numFmtId="0" fontId="13" fillId="0" borderId="0" xfId="0" applyFont="1" applyAlignment="1">
      <alignment/>
    </xf>
    <xf numFmtId="0" fontId="13" fillId="0" borderId="5" xfId="0" applyFont="1" applyBorder="1" applyAlignment="1">
      <alignment/>
    </xf>
    <xf numFmtId="0" fontId="27" fillId="0" borderId="0" xfId="0" applyFont="1" applyBorder="1" applyAlignment="1">
      <alignment/>
    </xf>
    <xf numFmtId="0" fontId="13" fillId="0" borderId="5" xfId="0" applyFont="1" applyBorder="1" applyAlignment="1" quotePrefix="1">
      <alignment horizontal="left"/>
    </xf>
    <xf numFmtId="0" fontId="13" fillId="0" borderId="0" xfId="0" applyFont="1" applyBorder="1" applyAlignment="1">
      <alignment horizontal="left"/>
    </xf>
    <xf numFmtId="0" fontId="27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5" xfId="0" applyFont="1" applyBorder="1" applyAlignment="1">
      <alignment/>
    </xf>
    <xf numFmtId="0" fontId="27" fillId="0" borderId="0" xfId="0" applyFont="1" applyAlignment="1" quotePrefix="1">
      <alignment horizontal="left"/>
    </xf>
    <xf numFmtId="0" fontId="13" fillId="0" borderId="0" xfId="0" applyFont="1" applyAlignment="1">
      <alignment horizontal="center"/>
    </xf>
    <xf numFmtId="38" fontId="27" fillId="0" borderId="0" xfId="15" applyNumberFormat="1" applyFont="1" applyBorder="1" applyAlignment="1">
      <alignment/>
    </xf>
    <xf numFmtId="38" fontId="13" fillId="0" borderId="0" xfId="15" applyNumberFormat="1" applyFont="1" applyBorder="1" applyAlignment="1">
      <alignment/>
    </xf>
    <xf numFmtId="164" fontId="27" fillId="0" borderId="0" xfId="15" applyNumberFormat="1" applyFont="1" applyBorder="1" applyAlignment="1">
      <alignment/>
    </xf>
    <xf numFmtId="38" fontId="13" fillId="0" borderId="0" xfId="15" applyNumberFormat="1" applyFont="1" applyAlignment="1">
      <alignment/>
    </xf>
    <xf numFmtId="0" fontId="27" fillId="0" borderId="0" xfId="0" applyFont="1" applyAlignment="1">
      <alignment vertical="top" shrinkToFit="1"/>
    </xf>
    <xf numFmtId="38" fontId="13" fillId="0" borderId="0" xfId="15" applyNumberFormat="1" applyFont="1" applyAlignment="1">
      <alignment horizontal="center"/>
    </xf>
    <xf numFmtId="38" fontId="27" fillId="0" borderId="0" xfId="15" applyNumberFormat="1" applyFont="1" applyAlignment="1">
      <alignment/>
    </xf>
    <xf numFmtId="38" fontId="27" fillId="0" borderId="0" xfId="15" applyNumberFormat="1" applyFont="1" applyBorder="1" applyAlignment="1">
      <alignment/>
    </xf>
    <xf numFmtId="0" fontId="13" fillId="0" borderId="0" xfId="0" applyFont="1" applyBorder="1" applyAlignment="1">
      <alignment/>
    </xf>
    <xf numFmtId="0" fontId="2" fillId="0" borderId="0" xfId="0" applyFont="1" applyBorder="1" applyAlignment="1">
      <alignment vertical="top" shrinkToFit="1"/>
    </xf>
    <xf numFmtId="38" fontId="27" fillId="0" borderId="5" xfId="15" applyNumberFormat="1" applyFont="1" applyBorder="1" applyAlignment="1">
      <alignment/>
    </xf>
    <xf numFmtId="38" fontId="13" fillId="0" borderId="16" xfId="15" applyNumberFormat="1" applyFont="1" applyBorder="1" applyAlignment="1">
      <alignment/>
    </xf>
    <xf numFmtId="164" fontId="27" fillId="0" borderId="0" xfId="0" applyNumberFormat="1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3" xfId="0" applyFont="1" applyBorder="1" applyAlignment="1">
      <alignment/>
    </xf>
    <xf numFmtId="0" fontId="27" fillId="0" borderId="0" xfId="0" applyFont="1" applyBorder="1" applyAlignment="1">
      <alignment/>
    </xf>
    <xf numFmtId="164" fontId="27" fillId="0" borderId="0" xfId="0" applyNumberFormat="1" applyFont="1" applyAlignment="1">
      <alignment/>
    </xf>
    <xf numFmtId="164" fontId="27" fillId="0" borderId="0" xfId="15" applyNumberFormat="1" applyFont="1" applyAlignment="1">
      <alignment horizontal="right"/>
    </xf>
    <xf numFmtId="164" fontId="27" fillId="0" borderId="0" xfId="15" applyNumberFormat="1" applyFont="1" applyBorder="1" applyAlignment="1">
      <alignment/>
    </xf>
    <xf numFmtId="164" fontId="27" fillId="0" borderId="0" xfId="0" applyNumberFormat="1" applyFont="1" applyAlignment="1">
      <alignment/>
    </xf>
    <xf numFmtId="164" fontId="27" fillId="0" borderId="5" xfId="0" applyNumberFormat="1" applyFont="1" applyBorder="1" applyAlignment="1">
      <alignment/>
    </xf>
    <xf numFmtId="164" fontId="27" fillId="0" borderId="0" xfId="0" applyNumberFormat="1" applyFont="1" applyBorder="1" applyAlignment="1">
      <alignment/>
    </xf>
    <xf numFmtId="164" fontId="13" fillId="0" borderId="0" xfId="0" applyNumberFormat="1" applyFont="1" applyAlignment="1">
      <alignment/>
    </xf>
    <xf numFmtId="164" fontId="27" fillId="0" borderId="6" xfId="0" applyNumberFormat="1" applyFont="1" applyBorder="1" applyAlignment="1">
      <alignment/>
    </xf>
    <xf numFmtId="164" fontId="27" fillId="0" borderId="3" xfId="0" applyNumberFormat="1" applyFont="1" applyBorder="1" applyAlignment="1">
      <alignment/>
    </xf>
    <xf numFmtId="164" fontId="27" fillId="0" borderId="3" xfId="15" applyNumberFormat="1" applyFont="1" applyBorder="1" applyAlignment="1">
      <alignment/>
    </xf>
    <xf numFmtId="164" fontId="13" fillId="0" borderId="1" xfId="15" applyNumberFormat="1" applyFont="1" applyBorder="1" applyAlignment="1">
      <alignment/>
    </xf>
    <xf numFmtId="164" fontId="27" fillId="0" borderId="0" xfId="15" applyNumberFormat="1" applyFont="1" applyAlignment="1">
      <alignment/>
    </xf>
    <xf numFmtId="164" fontId="27" fillId="0" borderId="0" xfId="15" applyNumberFormat="1" applyFont="1" applyAlignment="1">
      <alignment/>
    </xf>
    <xf numFmtId="164" fontId="13" fillId="0" borderId="0" xfId="15" applyNumberFormat="1" applyFont="1" applyAlignment="1">
      <alignment/>
    </xf>
    <xf numFmtId="164" fontId="27" fillId="0" borderId="4" xfId="0" applyNumberFormat="1" applyFont="1" applyBorder="1" applyAlignment="1">
      <alignment/>
    </xf>
    <xf numFmtId="0" fontId="27" fillId="0" borderId="3" xfId="0" applyFont="1" applyBorder="1" applyAlignment="1">
      <alignment/>
    </xf>
    <xf numFmtId="164" fontId="27" fillId="0" borderId="10" xfId="0" applyNumberFormat="1" applyFont="1" applyBorder="1" applyAlignment="1">
      <alignment/>
    </xf>
    <xf numFmtId="164" fontId="27" fillId="0" borderId="3" xfId="0" applyNumberFormat="1" applyFont="1" applyBorder="1" applyAlignment="1">
      <alignment/>
    </xf>
    <xf numFmtId="164" fontId="27" fillId="0" borderId="3" xfId="15" applyNumberFormat="1" applyFont="1" applyBorder="1" applyAlignment="1">
      <alignment/>
    </xf>
    <xf numFmtId="164" fontId="13" fillId="0" borderId="3" xfId="15" applyNumberFormat="1" applyFont="1" applyBorder="1" applyAlignment="1">
      <alignment/>
    </xf>
    <xf numFmtId="164" fontId="13" fillId="0" borderId="3" xfId="0" applyNumberFormat="1" applyFont="1" applyBorder="1" applyAlignment="1">
      <alignment/>
    </xf>
    <xf numFmtId="164" fontId="27" fillId="0" borderId="5" xfId="15" applyNumberFormat="1" applyFont="1" applyBorder="1" applyAlignment="1">
      <alignment/>
    </xf>
    <xf numFmtId="164" fontId="13" fillId="0" borderId="0" xfId="15" applyNumberFormat="1" applyFont="1" applyAlignment="1">
      <alignment/>
    </xf>
    <xf numFmtId="164" fontId="27" fillId="0" borderId="5" xfId="0" applyNumberFormat="1" applyFont="1" applyBorder="1" applyAlignment="1">
      <alignment/>
    </xf>
    <xf numFmtId="164" fontId="27" fillId="0" borderId="10" xfId="15" applyNumberFormat="1" applyFont="1" applyBorder="1" applyAlignment="1">
      <alignment/>
    </xf>
    <xf numFmtId="164" fontId="27" fillId="0" borderId="3" xfId="15" applyNumberFormat="1" applyFont="1" applyBorder="1" applyAlignment="1">
      <alignment shrinkToFit="1"/>
    </xf>
    <xf numFmtId="164" fontId="27" fillId="0" borderId="0" xfId="0" applyNumberFormat="1" applyFont="1" applyAlignment="1" quotePrefix="1">
      <alignment horizontal="left"/>
    </xf>
    <xf numFmtId="164" fontId="2" fillId="0" borderId="3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0" fontId="27" fillId="0" borderId="4" xfId="0" applyFont="1" applyBorder="1" applyAlignment="1">
      <alignment/>
    </xf>
    <xf numFmtId="164" fontId="27" fillId="0" borderId="10" xfId="0" applyNumberFormat="1" applyFont="1" applyBorder="1" applyAlignment="1">
      <alignment/>
    </xf>
    <xf numFmtId="164" fontId="27" fillId="0" borderId="5" xfId="15" applyNumberFormat="1" applyFont="1" applyBorder="1" applyAlignment="1">
      <alignment/>
    </xf>
    <xf numFmtId="164" fontId="13" fillId="0" borderId="0" xfId="15" applyNumberFormat="1" applyFont="1" applyBorder="1" applyAlignment="1">
      <alignment/>
    </xf>
    <xf numFmtId="164" fontId="27" fillId="0" borderId="0" xfId="0" applyNumberFormat="1" applyFont="1" applyAlignment="1">
      <alignment horizontal="left"/>
    </xf>
    <xf numFmtId="0" fontId="13" fillId="0" borderId="0" xfId="0" applyFont="1" applyBorder="1" applyAlignment="1">
      <alignment/>
    </xf>
    <xf numFmtId="0" fontId="27" fillId="2" borderId="0" xfId="0" applyFont="1" applyFill="1" applyAlignment="1">
      <alignment/>
    </xf>
    <xf numFmtId="164" fontId="13" fillId="0" borderId="1" xfId="0" applyNumberFormat="1" applyFont="1" applyBorder="1" applyAlignment="1">
      <alignment/>
    </xf>
    <xf numFmtId="164" fontId="13" fillId="0" borderId="15" xfId="0" applyNumberFormat="1" applyFont="1" applyBorder="1" applyAlignment="1">
      <alignment/>
    </xf>
    <xf numFmtId="164" fontId="27" fillId="2" borderId="0" xfId="0" applyNumberFormat="1" applyFont="1" applyFill="1" applyAlignment="1">
      <alignment/>
    </xf>
    <xf numFmtId="0" fontId="27" fillId="0" borderId="14" xfId="0" applyFont="1" applyBorder="1" applyAlignment="1">
      <alignment/>
    </xf>
    <xf numFmtId="38" fontId="13" fillId="0" borderId="0" xfId="0" applyNumberFormat="1" applyFont="1" applyAlignment="1">
      <alignment/>
    </xf>
    <xf numFmtId="0" fontId="2" fillId="0" borderId="5" xfId="0" applyFont="1" applyBorder="1" applyAlignment="1">
      <alignment/>
    </xf>
    <xf numFmtId="170" fontId="2" fillId="0" borderId="0" xfId="15" applyNumberFormat="1" applyFont="1" applyBorder="1" applyAlignment="1">
      <alignment/>
    </xf>
    <xf numFmtId="170" fontId="27" fillId="0" borderId="0" xfId="0" applyNumberFormat="1" applyFont="1" applyBorder="1" applyAlignment="1">
      <alignment/>
    </xf>
    <xf numFmtId="164" fontId="13" fillId="2" borderId="0" xfId="0" applyNumberFormat="1" applyFont="1" applyFill="1" applyAlignment="1">
      <alignment/>
    </xf>
    <xf numFmtId="0" fontId="27" fillId="0" borderId="9" xfId="0" applyFont="1" applyBorder="1" applyAlignment="1">
      <alignment/>
    </xf>
    <xf numFmtId="170" fontId="9" fillId="0" borderId="0" xfId="15" applyNumberFormat="1" applyFont="1" applyBorder="1" applyAlignment="1">
      <alignment/>
    </xf>
    <xf numFmtId="170" fontId="2" fillId="0" borderId="5" xfId="15" applyNumberFormat="1" applyFont="1" applyBorder="1" applyAlignment="1">
      <alignment/>
    </xf>
    <xf numFmtId="170" fontId="2" fillId="0" borderId="0" xfId="0" applyNumberFormat="1" applyFont="1" applyAlignment="1">
      <alignment/>
    </xf>
    <xf numFmtId="170" fontId="27" fillId="2" borderId="0" xfId="0" applyNumberFormat="1" applyFont="1" applyFill="1" applyAlignment="1">
      <alignment/>
    </xf>
    <xf numFmtId="170" fontId="13" fillId="0" borderId="0" xfId="0" applyNumberFormat="1" applyFont="1" applyAlignment="1">
      <alignment/>
    </xf>
    <xf numFmtId="0" fontId="27" fillId="0" borderId="0" xfId="0" applyFont="1" applyAlignment="1">
      <alignment/>
    </xf>
    <xf numFmtId="0" fontId="27" fillId="0" borderId="5" xfId="0" applyFont="1" applyBorder="1" applyAlignment="1">
      <alignment/>
    </xf>
    <xf numFmtId="0" fontId="27" fillId="0" borderId="9" xfId="0" applyFont="1" applyBorder="1" applyAlignment="1">
      <alignment/>
    </xf>
    <xf numFmtId="0" fontId="13" fillId="0" borderId="9" xfId="0" applyFont="1" applyBorder="1" applyAlignment="1">
      <alignment/>
    </xf>
    <xf numFmtId="170" fontId="27" fillId="0" borderId="0" xfId="0" applyNumberFormat="1" applyFont="1" applyAlignment="1">
      <alignment/>
    </xf>
    <xf numFmtId="0" fontId="27" fillId="0" borderId="10" xfId="0" applyFont="1" applyBorder="1" applyAlignment="1">
      <alignment/>
    </xf>
    <xf numFmtId="0" fontId="27" fillId="0" borderId="16" xfId="0" applyFont="1" applyBorder="1" applyAlignment="1">
      <alignment/>
    </xf>
    <xf numFmtId="0" fontId="27" fillId="0" borderId="3" xfId="0" applyFont="1" applyBorder="1" applyAlignment="1">
      <alignment/>
    </xf>
    <xf numFmtId="14" fontId="1" fillId="0" borderId="2" xfId="0" applyNumberFormat="1" applyFont="1" applyBorder="1" applyAlignment="1">
      <alignment/>
    </xf>
    <xf numFmtId="164" fontId="1" fillId="0" borderId="2" xfId="0" applyNumberFormat="1" applyFont="1" applyBorder="1" applyAlignment="1">
      <alignment/>
    </xf>
    <xf numFmtId="0" fontId="13" fillId="0" borderId="4" xfId="0" applyFont="1" applyBorder="1" applyAlignment="1">
      <alignment/>
    </xf>
    <xf numFmtId="0" fontId="27" fillId="0" borderId="14" xfId="0" applyFont="1" applyBorder="1" applyAlignment="1">
      <alignment/>
    </xf>
    <xf numFmtId="0" fontId="13" fillId="0" borderId="16" xfId="0" applyFont="1" applyBorder="1" applyAlignment="1">
      <alignment/>
    </xf>
    <xf numFmtId="182" fontId="6" fillId="0" borderId="0" xfId="0" applyNumberFormat="1" applyFont="1" applyBorder="1" applyAlignment="1">
      <alignment horizontal="center"/>
    </xf>
    <xf numFmtId="182" fontId="12" fillId="0" borderId="0" xfId="15" applyNumberFormat="1" applyFont="1" applyFill="1" applyBorder="1" applyAlignment="1">
      <alignment/>
    </xf>
    <xf numFmtId="182" fontId="12" fillId="0" borderId="17" xfId="15" applyNumberFormat="1" applyFont="1" applyBorder="1" applyAlignment="1">
      <alignment/>
    </xf>
    <xf numFmtId="182" fontId="16" fillId="0" borderId="0" xfId="15" applyNumberFormat="1" applyFont="1" applyBorder="1" applyAlignment="1">
      <alignment horizontal="center"/>
    </xf>
    <xf numFmtId="182" fontId="12" fillId="0" borderId="13" xfId="15" applyNumberFormat="1" applyFont="1" applyBorder="1" applyAlignment="1">
      <alignment/>
    </xf>
    <xf numFmtId="182" fontId="12" fillId="0" borderId="9" xfId="15" applyNumberFormat="1" applyFont="1" applyBorder="1" applyAlignment="1">
      <alignment/>
    </xf>
    <xf numFmtId="182" fontId="11" fillId="0" borderId="3" xfId="15" applyNumberFormat="1" applyFont="1" applyFill="1" applyBorder="1" applyAlignment="1">
      <alignment/>
    </xf>
    <xf numFmtId="182" fontId="11" fillId="0" borderId="0" xfId="15" applyNumberFormat="1" applyFont="1" applyFill="1" applyBorder="1" applyAlignment="1">
      <alignment horizontal="center"/>
    </xf>
    <xf numFmtId="182" fontId="11" fillId="0" borderId="0" xfId="15" applyNumberFormat="1" applyFont="1" applyFill="1" applyBorder="1" applyAlignment="1">
      <alignment horizontal="right"/>
    </xf>
    <xf numFmtId="182" fontId="11" fillId="0" borderId="0" xfId="15" applyNumberFormat="1" applyFont="1" applyFill="1" applyBorder="1" applyAlignment="1">
      <alignment/>
    </xf>
    <xf numFmtId="182" fontId="12" fillId="0" borderId="12" xfId="15" applyNumberFormat="1" applyFont="1" applyBorder="1" applyAlignment="1">
      <alignment/>
    </xf>
    <xf numFmtId="182" fontId="12" fillId="0" borderId="0" xfId="15" applyNumberFormat="1" applyFont="1" applyBorder="1" applyAlignment="1">
      <alignment horizontal="center"/>
    </xf>
    <xf numFmtId="182" fontId="0" fillId="0" borderId="0" xfId="0" applyNumberFormat="1" applyBorder="1" applyAlignment="1">
      <alignment horizontal="center"/>
    </xf>
    <xf numFmtId="182" fontId="11" fillId="0" borderId="17" xfId="15" applyNumberFormat="1" applyFont="1" applyBorder="1" applyAlignment="1">
      <alignment horizontal="center"/>
    </xf>
    <xf numFmtId="0" fontId="11" fillId="0" borderId="0" xfId="15" applyNumberFormat="1" applyFont="1" applyFill="1" applyBorder="1" applyAlignment="1">
      <alignment/>
    </xf>
    <xf numFmtId="182" fontId="11" fillId="0" borderId="3" xfId="15" applyNumberFormat="1" applyFont="1" applyBorder="1" applyAlignment="1">
      <alignment horizontal="center"/>
    </xf>
    <xf numFmtId="182" fontId="11" fillId="0" borderId="4" xfId="15" applyNumberFormat="1" applyFont="1" applyBorder="1" applyAlignment="1">
      <alignment horizontal="right"/>
    </xf>
    <xf numFmtId="182" fontId="11" fillId="0" borderId="0" xfId="15" applyNumberFormat="1" applyFont="1" applyBorder="1" applyAlignment="1">
      <alignment/>
    </xf>
    <xf numFmtId="166" fontId="12" fillId="0" borderId="19" xfId="15" applyNumberFormat="1" applyFont="1" applyBorder="1" applyAlignment="1">
      <alignment/>
    </xf>
    <xf numFmtId="182" fontId="11" fillId="0" borderId="20" xfId="15" applyNumberFormat="1" applyFont="1" applyBorder="1" applyAlignment="1">
      <alignment/>
    </xf>
    <xf numFmtId="182" fontId="11" fillId="0" borderId="19" xfId="15" applyNumberFormat="1" applyFont="1" applyBorder="1" applyAlignment="1">
      <alignment/>
    </xf>
    <xf numFmtId="182" fontId="11" fillId="0" borderId="19" xfId="15" applyNumberFormat="1" applyFont="1" applyBorder="1" applyAlignment="1">
      <alignment horizontal="center"/>
    </xf>
    <xf numFmtId="182" fontId="12" fillId="0" borderId="20" xfId="15" applyNumberFormat="1" applyFont="1" applyBorder="1" applyAlignment="1">
      <alignment/>
    </xf>
    <xf numFmtId="182" fontId="12" fillId="0" borderId="19" xfId="15" applyNumberFormat="1" applyFont="1" applyBorder="1" applyAlignment="1">
      <alignment horizontal="center"/>
    </xf>
    <xf numFmtId="182" fontId="12" fillId="0" borderId="19" xfId="15" applyNumberFormat="1" applyFont="1" applyBorder="1" applyAlignment="1">
      <alignment/>
    </xf>
    <xf numFmtId="166" fontId="11" fillId="0" borderId="19" xfId="15" applyNumberFormat="1" applyFont="1" applyBorder="1" applyAlignment="1">
      <alignment/>
    </xf>
    <xf numFmtId="182" fontId="11" fillId="0" borderId="22" xfId="15" applyNumberFormat="1" applyFont="1" applyBorder="1" applyAlignment="1">
      <alignment horizontal="center"/>
    </xf>
    <xf numFmtId="182" fontId="12" fillId="0" borderId="26" xfId="15" applyNumberFormat="1" applyFont="1" applyBorder="1" applyAlignment="1">
      <alignment/>
    </xf>
    <xf numFmtId="43" fontId="28" fillId="0" borderId="0" xfId="15" applyFont="1" applyBorder="1" applyAlignment="1">
      <alignment/>
    </xf>
    <xf numFmtId="43" fontId="0" fillId="0" borderId="0" xfId="15" applyBorder="1" applyAlignment="1">
      <alignment/>
    </xf>
    <xf numFmtId="43" fontId="0" fillId="0" borderId="0" xfId="15" applyBorder="1" applyAlignment="1" quotePrefix="1">
      <alignment horizontal="left"/>
    </xf>
    <xf numFmtId="43" fontId="5" fillId="0" borderId="0" xfId="15" applyFont="1" applyAlignment="1">
      <alignment horizontal="center" vertical="top"/>
    </xf>
    <xf numFmtId="43" fontId="5" fillId="0" borderId="9" xfId="15" applyFont="1" applyBorder="1" applyAlignment="1">
      <alignment horizontal="center" vertical="top"/>
    </xf>
    <xf numFmtId="43" fontId="5" fillId="0" borderId="0" xfId="15" applyFont="1" applyAlignment="1">
      <alignment vertical="top"/>
    </xf>
    <xf numFmtId="43" fontId="0" fillId="0" borderId="0" xfId="15" applyAlignment="1">
      <alignment vertical="top"/>
    </xf>
    <xf numFmtId="43" fontId="2" fillId="0" borderId="9" xfId="15" applyFont="1" applyBorder="1" applyAlignment="1">
      <alignment/>
    </xf>
    <xf numFmtId="43" fontId="2" fillId="0" borderId="6" xfId="15" applyFont="1" applyBorder="1" applyAlignment="1">
      <alignment/>
    </xf>
    <xf numFmtId="43" fontId="2" fillId="0" borderId="7" xfId="15" applyFont="1" applyBorder="1" applyAlignment="1">
      <alignment/>
    </xf>
    <xf numFmtId="43" fontId="2" fillId="0" borderId="0" xfId="15" applyFont="1" applyBorder="1" applyAlignment="1">
      <alignment horizontal="right"/>
    </xf>
    <xf numFmtId="43" fontId="2" fillId="0" borderId="0" xfId="15" applyFont="1" applyAlignment="1">
      <alignment horizontal="right"/>
    </xf>
    <xf numFmtId="43" fontId="2" fillId="0" borderId="8" xfId="15" applyFont="1" applyBorder="1" applyAlignment="1">
      <alignment/>
    </xf>
    <xf numFmtId="43" fontId="2" fillId="0" borderId="8" xfId="15" applyFont="1" applyBorder="1" applyAlignment="1">
      <alignment horizontal="center"/>
    </xf>
    <xf numFmtId="43" fontId="2" fillId="0" borderId="32" xfId="15" applyFont="1" applyBorder="1" applyAlignment="1">
      <alignment/>
    </xf>
    <xf numFmtId="43" fontId="2" fillId="0" borderId="8" xfId="15" applyFont="1" applyBorder="1" applyAlignment="1">
      <alignment horizontal="left"/>
    </xf>
    <xf numFmtId="43" fontId="2" fillId="0" borderId="4" xfId="15" applyFont="1" applyBorder="1" applyAlignment="1">
      <alignment/>
    </xf>
    <xf numFmtId="43" fontId="2" fillId="0" borderId="3" xfId="15" applyFont="1" applyBorder="1" applyAlignment="1">
      <alignment/>
    </xf>
    <xf numFmtId="43" fontId="6" fillId="0" borderId="0" xfId="15" applyFont="1" applyAlignment="1">
      <alignment/>
    </xf>
    <xf numFmtId="43" fontId="9" fillId="0" borderId="0" xfId="15" applyFont="1" applyBorder="1" applyAlignment="1">
      <alignment horizontal="right"/>
    </xf>
    <xf numFmtId="43" fontId="2" fillId="0" borderId="14" xfId="15" applyFont="1" applyBorder="1" applyAlignment="1">
      <alignment/>
    </xf>
    <xf numFmtId="43" fontId="1" fillId="0" borderId="9" xfId="15" applyFont="1" applyBorder="1" applyAlignment="1">
      <alignment/>
    </xf>
    <xf numFmtId="43" fontId="2" fillId="0" borderId="10" xfId="15" applyFont="1" applyBorder="1" applyAlignment="1">
      <alignment/>
    </xf>
    <xf numFmtId="43" fontId="1" fillId="0" borderId="16" xfId="15" applyFont="1" applyBorder="1" applyAlignment="1">
      <alignment/>
    </xf>
    <xf numFmtId="43" fontId="0" fillId="0" borderId="9" xfId="15" applyBorder="1" applyAlignment="1">
      <alignment/>
    </xf>
    <xf numFmtId="43" fontId="1" fillId="0" borderId="3" xfId="15" applyFont="1" applyBorder="1" applyAlignment="1">
      <alignment horizontal="left"/>
    </xf>
    <xf numFmtId="43" fontId="0" fillId="0" borderId="3" xfId="15" applyBorder="1" applyAlignment="1">
      <alignment/>
    </xf>
    <xf numFmtId="43" fontId="1" fillId="0" borderId="16" xfId="15" applyFont="1" applyBorder="1" applyAlignment="1">
      <alignment/>
    </xf>
    <xf numFmtId="43" fontId="8" fillId="0" borderId="6" xfId="15" applyFont="1" applyBorder="1" applyAlignment="1">
      <alignment/>
    </xf>
    <xf numFmtId="43" fontId="2" fillId="0" borderId="0" xfId="15" applyFont="1" applyAlignment="1" quotePrefix="1">
      <alignment horizontal="left" vertical="top" wrapText="1"/>
    </xf>
    <xf numFmtId="43" fontId="3" fillId="0" borderId="0" xfId="15" applyFont="1" applyAlignment="1" quotePrefix="1">
      <alignment horizontal="left" vertical="center"/>
    </xf>
    <xf numFmtId="43" fontId="0" fillId="0" borderId="0" xfId="15" applyAlignment="1" quotePrefix="1">
      <alignment horizontal="left"/>
    </xf>
    <xf numFmtId="43" fontId="0" fillId="0" borderId="0" xfId="15" applyFont="1" applyAlignment="1">
      <alignment/>
    </xf>
    <xf numFmtId="43" fontId="0" fillId="0" borderId="0" xfId="15" applyFont="1" applyAlignment="1">
      <alignment horizontal="center" vertical="top" wrapText="1"/>
    </xf>
    <xf numFmtId="43" fontId="6" fillId="0" borderId="0" xfId="15" applyFont="1" applyAlignment="1" quotePrefix="1">
      <alignment horizontal="left" vertical="top" wrapText="1"/>
    </xf>
    <xf numFmtId="43" fontId="0" fillId="0" borderId="7" xfId="15" applyBorder="1" applyAlignment="1">
      <alignment/>
    </xf>
    <xf numFmtId="43" fontId="10" fillId="0" borderId="0" xfId="15" applyFont="1" applyAlignment="1">
      <alignment horizontal="right"/>
    </xf>
    <xf numFmtId="43" fontId="2" fillId="0" borderId="0" xfId="15" applyFont="1" applyAlignment="1">
      <alignment horizontal="left"/>
    </xf>
    <xf numFmtId="43" fontId="2" fillId="0" borderId="2" xfId="15" applyFont="1" applyBorder="1" applyAlignment="1">
      <alignment/>
    </xf>
    <xf numFmtId="43" fontId="0" fillId="0" borderId="0" xfId="15" applyAlignment="1">
      <alignment horizontal="center" vertical="top" wrapText="1"/>
    </xf>
    <xf numFmtId="43" fontId="2" fillId="0" borderId="0" xfId="15" applyFont="1" applyAlignment="1">
      <alignment/>
    </xf>
    <xf numFmtId="43" fontId="2" fillId="0" borderId="0" xfId="15" applyFont="1" applyFill="1" applyAlignment="1">
      <alignment/>
    </xf>
    <xf numFmtId="43" fontId="2" fillId="0" borderId="5" xfId="15" applyFont="1" applyFill="1" applyBorder="1" applyAlignment="1">
      <alignment/>
    </xf>
    <xf numFmtId="43" fontId="2" fillId="2" borderId="0" xfId="15" applyFont="1" applyFill="1" applyBorder="1" applyAlignment="1">
      <alignment/>
    </xf>
    <xf numFmtId="43" fontId="8" fillId="0" borderId="0" xfId="15" applyFont="1" applyAlignment="1">
      <alignment/>
    </xf>
    <xf numFmtId="43" fontId="8" fillId="0" borderId="6" xfId="15" applyFont="1" applyBorder="1" applyAlignment="1">
      <alignment/>
    </xf>
    <xf numFmtId="43" fontId="0" fillId="0" borderId="2" xfId="15" applyBorder="1" applyAlignment="1">
      <alignment/>
    </xf>
    <xf numFmtId="184" fontId="5" fillId="0" borderId="0" xfId="15" applyNumberFormat="1" applyFont="1" applyAlignment="1">
      <alignment horizontal="center" vertical="top"/>
    </xf>
    <xf numFmtId="184" fontId="5" fillId="0" borderId="0" xfId="0" applyNumberFormat="1" applyFont="1" applyAlignment="1">
      <alignment horizontal="center" vertical="top"/>
    </xf>
    <xf numFmtId="182" fontId="12" fillId="0" borderId="4" xfId="15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NumberFormat="1" applyFont="1" applyBorder="1" applyAlignment="1">
      <alignment/>
    </xf>
    <xf numFmtId="0" fontId="1" fillId="0" borderId="6" xfId="0" applyFont="1" applyBorder="1" applyAlignment="1">
      <alignment/>
    </xf>
    <xf numFmtId="0" fontId="1" fillId="0" borderId="6" xfId="0" applyFont="1" applyBorder="1" applyAlignment="1" quotePrefix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 quotePrefix="1">
      <alignment horizontal="left"/>
    </xf>
    <xf numFmtId="0" fontId="2" fillId="0" borderId="0" xfId="0" applyFont="1" applyAlignment="1" quotePrefix="1">
      <alignment horizontal="right"/>
    </xf>
    <xf numFmtId="0" fontId="2" fillId="0" borderId="0" xfId="0" applyFont="1" applyAlignment="1">
      <alignment/>
    </xf>
    <xf numFmtId="0" fontId="2" fillId="0" borderId="0" xfId="0" applyFont="1" applyAlignment="1" quotePrefix="1">
      <alignment/>
    </xf>
    <xf numFmtId="0" fontId="2" fillId="0" borderId="0" xfId="0" applyFont="1" applyBorder="1" applyAlignment="1" quotePrefix="1">
      <alignment/>
    </xf>
    <xf numFmtId="0" fontId="2" fillId="0" borderId="0" xfId="0" applyFont="1" applyBorder="1" applyAlignment="1" quotePrefix="1">
      <alignment horizontal="left"/>
    </xf>
    <xf numFmtId="0" fontId="1" fillId="0" borderId="19" xfId="0" applyFont="1" applyBorder="1" applyAlignment="1">
      <alignment/>
    </xf>
    <xf numFmtId="0" fontId="2" fillId="0" borderId="19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23" xfId="0" applyFont="1" applyBorder="1" applyAlignment="1">
      <alignment/>
    </xf>
    <xf numFmtId="0" fontId="0" fillId="0" borderId="25" xfId="0" applyBorder="1" applyAlignment="1">
      <alignment/>
    </xf>
    <xf numFmtId="182" fontId="2" fillId="0" borderId="0" xfId="15" applyNumberFormat="1" applyFont="1" applyAlignment="1">
      <alignment wrapText="1"/>
    </xf>
    <xf numFmtId="182" fontId="2" fillId="0" borderId="5" xfId="15" applyNumberFormat="1" applyFont="1" applyBorder="1" applyAlignment="1">
      <alignment wrapText="1"/>
    </xf>
    <xf numFmtId="182" fontId="2" fillId="0" borderId="12" xfId="15" applyNumberFormat="1" applyFont="1" applyBorder="1" applyAlignment="1">
      <alignment wrapText="1"/>
    </xf>
    <xf numFmtId="182" fontId="2" fillId="0" borderId="0" xfId="15" applyNumberFormat="1" applyFont="1" applyAlignment="1">
      <alignment horizontal="center"/>
    </xf>
    <xf numFmtId="182" fontId="1" fillId="0" borderId="5" xfId="15" applyNumberFormat="1" applyFont="1" applyBorder="1" applyAlignment="1">
      <alignment/>
    </xf>
    <xf numFmtId="182" fontId="1" fillId="0" borderId="0" xfId="15" applyNumberFormat="1" applyFont="1" applyAlignment="1">
      <alignment/>
    </xf>
    <xf numFmtId="182" fontId="1" fillId="0" borderId="0" xfId="15" applyNumberFormat="1" applyFont="1" applyBorder="1" applyAlignment="1">
      <alignment/>
    </xf>
    <xf numFmtId="182" fontId="2" fillId="0" borderId="15" xfId="15" applyNumberFormat="1" applyFont="1" applyBorder="1" applyAlignment="1">
      <alignment/>
    </xf>
    <xf numFmtId="182" fontId="2" fillId="3" borderId="12" xfId="15" applyNumberFormat="1" applyFont="1" applyFill="1" applyBorder="1" applyAlignment="1">
      <alignment/>
    </xf>
    <xf numFmtId="182" fontId="2" fillId="3" borderId="0" xfId="15" applyNumberFormat="1" applyFont="1" applyFill="1" applyAlignment="1">
      <alignment/>
    </xf>
    <xf numFmtId="0" fontId="1" fillId="0" borderId="3" xfId="0" applyNumberFormat="1" applyFont="1" applyBorder="1" applyAlignment="1">
      <alignment/>
    </xf>
    <xf numFmtId="0" fontId="2" fillId="0" borderId="3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5" xfId="0" applyFont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1" fillId="0" borderId="0" xfId="15" applyNumberFormat="1" applyFont="1" applyAlignment="1">
      <alignment horizontal="center"/>
    </xf>
    <xf numFmtId="0" fontId="11" fillId="0" borderId="0" xfId="15" applyNumberFormat="1" applyFont="1" applyBorder="1" applyAlignment="1">
      <alignment horizontal="center"/>
    </xf>
    <xf numFmtId="0" fontId="12" fillId="0" borderId="0" xfId="15" applyNumberFormat="1" applyFont="1" applyAlignment="1">
      <alignment horizontal="center"/>
    </xf>
    <xf numFmtId="0" fontId="11" fillId="0" borderId="0" xfId="15" applyNumberFormat="1" applyFont="1" applyBorder="1" applyAlignment="1">
      <alignment horizontal="left"/>
    </xf>
    <xf numFmtId="0" fontId="11" fillId="0" borderId="0" xfId="15" applyNumberFormat="1" applyFont="1" applyAlignment="1">
      <alignment horizontal="left"/>
    </xf>
    <xf numFmtId="0" fontId="11" fillId="0" borderId="0" xfId="15" applyNumberFormat="1" applyFont="1" applyBorder="1" applyAlignment="1" applyProtection="1">
      <alignment horizontal="left"/>
      <protection hidden="1"/>
    </xf>
    <xf numFmtId="182" fontId="11" fillId="0" borderId="5" xfId="15" applyNumberFormat="1" applyFont="1" applyBorder="1" applyAlignment="1">
      <alignment horizontal="center"/>
    </xf>
    <xf numFmtId="182" fontId="11" fillId="0" borderId="5" xfId="15" applyNumberFormat="1" applyFont="1" applyBorder="1" applyAlignment="1">
      <alignment horizontal="left"/>
    </xf>
    <xf numFmtId="0" fontId="1" fillId="0" borderId="22" xfId="0" applyFont="1" applyBorder="1" applyAlignment="1">
      <alignment/>
    </xf>
    <xf numFmtId="165" fontId="2" fillId="0" borderId="8" xfId="0" applyNumberFormat="1" applyFont="1" applyBorder="1" applyAlignment="1">
      <alignment/>
    </xf>
    <xf numFmtId="0" fontId="1" fillId="0" borderId="34" xfId="0" applyFont="1" applyBorder="1" applyAlignment="1">
      <alignment/>
    </xf>
    <xf numFmtId="0" fontId="1" fillId="0" borderId="35" xfId="0" applyFont="1" applyBorder="1" applyAlignment="1">
      <alignment/>
    </xf>
    <xf numFmtId="0" fontId="1" fillId="0" borderId="36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6" xfId="0" applyFont="1" applyBorder="1" applyAlignment="1" quotePrefix="1">
      <alignment horizontal="left"/>
    </xf>
    <xf numFmtId="0" fontId="2" fillId="0" borderId="36" xfId="0" applyFont="1" applyBorder="1" applyAlignment="1">
      <alignment horizontal="left"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43" fontId="6" fillId="0" borderId="0" xfId="15" applyFont="1" applyBorder="1" applyAlignment="1">
      <alignment/>
    </xf>
    <xf numFmtId="43" fontId="6" fillId="0" borderId="0" xfId="15" applyFont="1" applyAlignment="1">
      <alignment/>
    </xf>
    <xf numFmtId="43" fontId="11" fillId="0" borderId="0" xfId="15" applyNumberFormat="1" applyFont="1" applyAlignment="1">
      <alignment/>
    </xf>
    <xf numFmtId="182" fontId="16" fillId="0" borderId="0" xfId="15" applyNumberFormat="1" applyFont="1" applyAlignment="1">
      <alignment/>
    </xf>
    <xf numFmtId="182" fontId="16" fillId="0" borderId="0" xfId="15" applyNumberFormat="1" applyFont="1" applyFill="1" applyBorder="1" applyAlignment="1">
      <alignment/>
    </xf>
    <xf numFmtId="182" fontId="16" fillId="0" borderId="0" xfId="15" applyNumberFormat="1" applyFont="1" applyBorder="1" applyAlignment="1">
      <alignment/>
    </xf>
    <xf numFmtId="182" fontId="17" fillId="0" borderId="0" xfId="15" applyNumberFormat="1" applyFont="1" applyAlignment="1">
      <alignment/>
    </xf>
    <xf numFmtId="186" fontId="16" fillId="0" borderId="0" xfId="15" applyNumberFormat="1" applyFont="1" applyFill="1" applyBorder="1" applyAlignment="1">
      <alignment/>
    </xf>
    <xf numFmtId="182" fontId="16" fillId="0" borderId="0" xfId="15" applyNumberFormat="1" applyFont="1" applyFill="1" applyBorder="1" applyAlignment="1">
      <alignment/>
    </xf>
    <xf numFmtId="182" fontId="16" fillId="0" borderId="0" xfId="15" applyNumberFormat="1" applyFont="1" applyFill="1" applyBorder="1" applyAlignment="1">
      <alignment horizontal="right"/>
    </xf>
    <xf numFmtId="164" fontId="1" fillId="0" borderId="0" xfId="15" applyNumberFormat="1" applyFont="1" applyAlignment="1">
      <alignment wrapText="1"/>
    </xf>
    <xf numFmtId="43" fontId="1" fillId="0" borderId="3" xfId="15" applyFont="1" applyBorder="1" applyAlignment="1">
      <alignment/>
    </xf>
    <xf numFmtId="181" fontId="17" fillId="0" borderId="6" xfId="15" applyNumberFormat="1" applyFont="1" applyBorder="1" applyAlignment="1">
      <alignment/>
    </xf>
    <xf numFmtId="43" fontId="17" fillId="0" borderId="7" xfId="15" applyFont="1" applyBorder="1" applyAlignment="1">
      <alignment horizontal="center"/>
    </xf>
    <xf numFmtId="43" fontId="28" fillId="0" borderId="0" xfId="15" applyFont="1" applyBorder="1" applyAlignment="1">
      <alignment horizontal="right"/>
    </xf>
    <xf numFmtId="43" fontId="7" fillId="0" borderId="0" xfId="15" applyFont="1" applyBorder="1" applyAlignment="1">
      <alignment horizontal="center" vertical="center"/>
    </xf>
    <xf numFmtId="43" fontId="8" fillId="0" borderId="0" xfId="15" applyFont="1" applyBorder="1" applyAlignment="1">
      <alignment/>
    </xf>
    <xf numFmtId="182" fontId="24" fillId="0" borderId="0" xfId="15" applyNumberFormat="1" applyFont="1" applyBorder="1" applyAlignment="1">
      <alignment/>
    </xf>
    <xf numFmtId="43" fontId="8" fillId="3" borderId="0" xfId="15" applyFont="1" applyFill="1" applyAlignment="1">
      <alignment/>
    </xf>
    <xf numFmtId="43" fontId="0" fillId="0" borderId="0" xfId="15" applyFont="1" applyBorder="1" applyAlignment="1">
      <alignment/>
    </xf>
    <xf numFmtId="0" fontId="8" fillId="3" borderId="0" xfId="0" applyFont="1" applyFill="1" applyAlignment="1">
      <alignment horizontal="center"/>
    </xf>
    <xf numFmtId="43" fontId="17" fillId="0" borderId="35" xfId="15" applyFont="1" applyBorder="1" applyAlignment="1">
      <alignment/>
    </xf>
    <xf numFmtId="43" fontId="17" fillId="0" borderId="39" xfId="15" applyFont="1" applyBorder="1" applyAlignment="1">
      <alignment/>
    </xf>
    <xf numFmtId="43" fontId="8" fillId="0" borderId="2" xfId="15" applyFont="1" applyBorder="1" applyAlignment="1">
      <alignment/>
    </xf>
    <xf numFmtId="184" fontId="11" fillId="0" borderId="0" xfId="15" applyNumberFormat="1" applyFont="1" applyAlignment="1">
      <alignment horizontal="center"/>
    </xf>
    <xf numFmtId="43" fontId="11" fillId="0" borderId="0" xfId="15" applyFont="1" applyAlignment="1">
      <alignment horizontal="left"/>
    </xf>
    <xf numFmtId="43" fontId="11" fillId="0" borderId="12" xfId="15" applyFont="1" applyBorder="1" applyAlignment="1">
      <alignment/>
    </xf>
    <xf numFmtId="43" fontId="11" fillId="0" borderId="15" xfId="15" applyFont="1" applyBorder="1" applyAlignment="1">
      <alignment/>
    </xf>
    <xf numFmtId="0" fontId="1" fillId="3" borderId="10" xfId="0" applyFont="1" applyFill="1" applyBorder="1" applyAlignment="1">
      <alignment/>
    </xf>
    <xf numFmtId="0" fontId="2" fillId="0" borderId="20" xfId="0" applyFont="1" applyBorder="1" applyAlignment="1">
      <alignment/>
    </xf>
    <xf numFmtId="0" fontId="1" fillId="2" borderId="19" xfId="0" applyFont="1" applyFill="1" applyBorder="1" applyAlignment="1">
      <alignment/>
    </xf>
    <xf numFmtId="0" fontId="2" fillId="2" borderId="33" xfId="0" applyFont="1" applyFill="1" applyBorder="1" applyAlignment="1">
      <alignment/>
    </xf>
    <xf numFmtId="0" fontId="2" fillId="0" borderId="33" xfId="0" applyFont="1" applyBorder="1" applyAlignment="1">
      <alignment/>
    </xf>
    <xf numFmtId="0" fontId="2" fillId="2" borderId="19" xfId="0" applyFont="1" applyFill="1" applyBorder="1" applyAlignment="1">
      <alignment/>
    </xf>
    <xf numFmtId="0" fontId="2" fillId="0" borderId="22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40" xfId="0" applyFont="1" applyBorder="1" applyAlignment="1">
      <alignment/>
    </xf>
    <xf numFmtId="16" fontId="2" fillId="0" borderId="17" xfId="0" applyNumberFormat="1" applyFont="1" applyBorder="1" applyAlignment="1">
      <alignment/>
    </xf>
    <xf numFmtId="0" fontId="1" fillId="3" borderId="38" xfId="0" applyFont="1" applyFill="1" applyBorder="1" applyAlignment="1">
      <alignment/>
    </xf>
    <xf numFmtId="0" fontId="1" fillId="6" borderId="17" xfId="0" applyFont="1" applyFill="1" applyBorder="1" applyAlignment="1">
      <alignment/>
    </xf>
    <xf numFmtId="0" fontId="1" fillId="0" borderId="41" xfId="0" applyFont="1" applyBorder="1" applyAlignment="1">
      <alignment/>
    </xf>
    <xf numFmtId="0" fontId="2" fillId="0" borderId="17" xfId="0" applyNumberFormat="1" applyFont="1" applyBorder="1" applyAlignment="1">
      <alignment/>
    </xf>
    <xf numFmtId="0" fontId="2" fillId="3" borderId="17" xfId="0" applyFont="1" applyFill="1" applyBorder="1" applyAlignment="1">
      <alignment/>
    </xf>
    <xf numFmtId="0" fontId="1" fillId="3" borderId="17" xfId="0" applyFont="1" applyFill="1" applyBorder="1" applyAlignment="1">
      <alignment/>
    </xf>
    <xf numFmtId="0" fontId="2" fillId="3" borderId="15" xfId="0" applyFont="1" applyFill="1" applyBorder="1" applyAlignment="1">
      <alignment/>
    </xf>
    <xf numFmtId="43" fontId="0" fillId="0" borderId="0" xfId="15" applyFont="1" applyAlignment="1">
      <alignment/>
    </xf>
    <xf numFmtId="0" fontId="2" fillId="0" borderId="1" xfId="0" applyFont="1" applyBorder="1" applyAlignment="1">
      <alignment/>
    </xf>
    <xf numFmtId="43" fontId="2" fillId="0" borderId="5" xfId="15" applyNumberFormat="1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/>
    </xf>
    <xf numFmtId="0" fontId="0" fillId="3" borderId="0" xfId="0" applyFont="1" applyFill="1" applyAlignment="1">
      <alignment/>
    </xf>
    <xf numFmtId="182" fontId="11" fillId="0" borderId="12" xfId="15" applyNumberFormat="1" applyFont="1" applyBorder="1" applyAlignment="1">
      <alignment horizontal="center" wrapText="1"/>
    </xf>
    <xf numFmtId="182" fontId="12" fillId="0" borderId="12" xfId="15" applyNumberFormat="1" applyFont="1" applyBorder="1" applyAlignment="1">
      <alignment wrapText="1"/>
    </xf>
    <xf numFmtId="182" fontId="12" fillId="2" borderId="0" xfId="23" applyNumberFormat="1" applyFont="1" applyFill="1" applyAlignment="1">
      <alignment/>
    </xf>
    <xf numFmtId="43" fontId="17" fillId="0" borderId="6" xfId="15" applyFont="1" applyBorder="1" applyAlignment="1">
      <alignment/>
    </xf>
    <xf numFmtId="169" fontId="2" fillId="0" borderId="0" xfId="15" applyNumberFormat="1" applyFont="1" applyAlignment="1">
      <alignment/>
    </xf>
    <xf numFmtId="182" fontId="16" fillId="0" borderId="3" xfId="15" applyNumberFormat="1" applyFont="1" applyBorder="1" applyAlignment="1">
      <alignment/>
    </xf>
    <xf numFmtId="182" fontId="17" fillId="0" borderId="0" xfId="15" applyNumberFormat="1" applyFont="1" applyFill="1" applyBorder="1" applyAlignment="1">
      <alignment/>
    </xf>
    <xf numFmtId="184" fontId="17" fillId="0" borderId="0" xfId="15" applyNumberFormat="1" applyFont="1" applyAlignment="1">
      <alignment/>
    </xf>
    <xf numFmtId="182" fontId="16" fillId="0" borderId="0" xfId="15" applyNumberFormat="1" applyFont="1" applyFill="1" applyBorder="1" applyAlignment="1">
      <alignment horizontal="center"/>
    </xf>
    <xf numFmtId="0" fontId="16" fillId="0" borderId="0" xfId="15" applyNumberFormat="1" applyFont="1" applyFill="1" applyBorder="1" applyAlignment="1">
      <alignment/>
    </xf>
    <xf numFmtId="43" fontId="16" fillId="0" borderId="0" xfId="15" applyNumberFormat="1" applyFont="1" applyBorder="1" applyAlignment="1">
      <alignment/>
    </xf>
    <xf numFmtId="0" fontId="0" fillId="0" borderId="0" xfId="0" applyFont="1" applyAlignment="1">
      <alignment/>
    </xf>
    <xf numFmtId="182" fontId="16" fillId="0" borderId="3" xfId="15" applyNumberFormat="1" applyFont="1" applyFill="1" applyBorder="1" applyAlignment="1">
      <alignment/>
    </xf>
    <xf numFmtId="182" fontId="17" fillId="0" borderId="3" xfId="15" applyNumberFormat="1" applyFont="1" applyBorder="1" applyAlignment="1">
      <alignment/>
    </xf>
    <xf numFmtId="0" fontId="0" fillId="0" borderId="0" xfId="0" applyFont="1" applyBorder="1" applyAlignment="1">
      <alignment/>
    </xf>
    <xf numFmtId="43" fontId="11" fillId="0" borderId="0" xfId="15" applyFont="1" applyBorder="1" applyAlignment="1">
      <alignment/>
    </xf>
    <xf numFmtId="43" fontId="2" fillId="0" borderId="9" xfId="15" applyFont="1" applyBorder="1" applyAlignment="1">
      <alignment/>
    </xf>
    <xf numFmtId="43" fontId="2" fillId="0" borderId="5" xfId="0" applyNumberFormat="1" applyFont="1" applyBorder="1" applyAlignment="1">
      <alignment/>
    </xf>
    <xf numFmtId="182" fontId="11" fillId="0" borderId="0" xfId="15" applyNumberFormat="1" applyFont="1" applyAlignment="1">
      <alignment horizontal="right"/>
    </xf>
    <xf numFmtId="182" fontId="11" fillId="0" borderId="0" xfId="15" applyNumberFormat="1" applyFont="1" applyAlignment="1">
      <alignment horizontal="left"/>
    </xf>
    <xf numFmtId="43" fontId="2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/>
    </xf>
    <xf numFmtId="43" fontId="2" fillId="0" borderId="0" xfId="15" applyFont="1" applyFill="1" applyBorder="1" applyAlignment="1">
      <alignment/>
    </xf>
    <xf numFmtId="0" fontId="10" fillId="0" borderId="0" xfId="0" applyFont="1" applyAlignment="1">
      <alignment/>
    </xf>
    <xf numFmtId="43" fontId="10" fillId="0" borderId="0" xfId="15" applyFont="1" applyAlignment="1">
      <alignment/>
    </xf>
    <xf numFmtId="43" fontId="32" fillId="0" borderId="3" xfId="0" applyNumberFormat="1" applyFont="1" applyBorder="1" applyAlignment="1">
      <alignment/>
    </xf>
    <xf numFmtId="0" fontId="10" fillId="0" borderId="3" xfId="0" applyFont="1" applyBorder="1" applyAlignment="1">
      <alignment/>
    </xf>
    <xf numFmtId="0" fontId="0" fillId="0" borderId="6" xfId="0" applyBorder="1" applyAlignment="1">
      <alignment/>
    </xf>
    <xf numFmtId="43" fontId="17" fillId="0" borderId="0" xfId="15" applyNumberFormat="1" applyFont="1" applyAlignment="1">
      <alignment/>
    </xf>
    <xf numFmtId="43" fontId="10" fillId="0" borderId="0" xfId="15" applyFont="1" applyBorder="1" applyAlignment="1">
      <alignment/>
    </xf>
    <xf numFmtId="0" fontId="10" fillId="0" borderId="0" xfId="0" applyFont="1" applyBorder="1" applyAlignment="1">
      <alignment/>
    </xf>
    <xf numFmtId="43" fontId="1" fillId="0" borderId="10" xfId="15" applyFont="1" applyBorder="1" applyAlignment="1">
      <alignment/>
    </xf>
    <xf numFmtId="43" fontId="1" fillId="0" borderId="5" xfId="15" applyFont="1" applyBorder="1" applyAlignment="1">
      <alignment/>
    </xf>
    <xf numFmtId="43" fontId="8" fillId="0" borderId="2" xfId="15" applyFont="1" applyBorder="1" applyAlignment="1">
      <alignment/>
    </xf>
    <xf numFmtId="43" fontId="7" fillId="0" borderId="5" xfId="15" applyFont="1" applyBorder="1" applyAlignment="1">
      <alignment horizontal="center" vertical="center"/>
    </xf>
    <xf numFmtId="43" fontId="0" fillId="0" borderId="13" xfId="15" applyBorder="1" applyAlignment="1">
      <alignment/>
    </xf>
    <xf numFmtId="182" fontId="1" fillId="0" borderId="5" xfId="15" applyNumberFormat="1" applyFont="1" applyBorder="1" applyAlignment="1">
      <alignment/>
    </xf>
    <xf numFmtId="182" fontId="0" fillId="0" borderId="9" xfId="15" applyNumberFormat="1" applyBorder="1" applyAlignment="1">
      <alignment/>
    </xf>
    <xf numFmtId="0" fontId="8" fillId="0" borderId="4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3" fontId="2" fillId="0" borderId="6" xfId="15" applyFont="1" applyBorder="1" applyAlignment="1">
      <alignment/>
    </xf>
    <xf numFmtId="43" fontId="2" fillId="0" borderId="7" xfId="15" applyFont="1" applyBorder="1" applyAlignment="1">
      <alignment/>
    </xf>
    <xf numFmtId="43" fontId="7" fillId="0" borderId="4" xfId="15" applyFont="1" applyBorder="1" applyAlignment="1">
      <alignment horizontal="center" vertical="center"/>
    </xf>
    <xf numFmtId="43" fontId="7" fillId="0" borderId="13" xfId="15" applyFont="1" applyBorder="1" applyAlignment="1">
      <alignment horizontal="center" vertical="center"/>
    </xf>
    <xf numFmtId="43" fontId="0" fillId="0" borderId="14" xfId="15" applyBorder="1" applyAlignment="1">
      <alignment/>
    </xf>
    <xf numFmtId="43" fontId="7" fillId="0" borderId="10" xfId="15" applyFont="1" applyBorder="1" applyAlignment="1">
      <alignment horizontal="center" vertical="center"/>
    </xf>
    <xf numFmtId="43" fontId="7" fillId="0" borderId="3" xfId="15" applyFont="1" applyBorder="1" applyAlignment="1">
      <alignment horizontal="center" vertical="center"/>
    </xf>
    <xf numFmtId="43" fontId="0" fillId="0" borderId="16" xfId="15" applyBorder="1" applyAlignment="1">
      <alignment/>
    </xf>
    <xf numFmtId="43" fontId="8" fillId="0" borderId="0" xfId="15" applyFont="1" applyBorder="1" applyAlignment="1">
      <alignment/>
    </xf>
    <xf numFmtId="43" fontId="8" fillId="0" borderId="0" xfId="15" applyFont="1" applyAlignment="1">
      <alignment/>
    </xf>
    <xf numFmtId="43" fontId="1" fillId="0" borderId="2" xfId="15" applyFont="1" applyBorder="1" applyAlignment="1">
      <alignment horizontal="center"/>
    </xf>
    <xf numFmtId="43" fontId="8" fillId="0" borderId="7" xfId="15" applyFont="1" applyBorder="1" applyAlignment="1">
      <alignment/>
    </xf>
    <xf numFmtId="43" fontId="1" fillId="0" borderId="0" xfId="15" applyFont="1" applyAlignment="1">
      <alignment/>
    </xf>
    <xf numFmtId="43" fontId="8" fillId="0" borderId="6" xfId="15" applyFont="1" applyBorder="1" applyAlignment="1">
      <alignment/>
    </xf>
    <xf numFmtId="0" fontId="0" fillId="0" borderId="7" xfId="0" applyBorder="1" applyAlignment="1">
      <alignment/>
    </xf>
    <xf numFmtId="0" fontId="0" fillId="0" borderId="0" xfId="0" applyAlignment="1">
      <alignment/>
    </xf>
    <xf numFmtId="0" fontId="0" fillId="0" borderId="9" xfId="0" applyFont="1" applyBorder="1" applyAlignment="1">
      <alignment/>
    </xf>
    <xf numFmtId="43" fontId="2" fillId="0" borderId="0" xfId="15" applyFont="1" applyBorder="1" applyAlignment="1">
      <alignment/>
    </xf>
    <xf numFmtId="0" fontId="0" fillId="0" borderId="0" xfId="0" applyFont="1" applyBorder="1" applyAlignment="1">
      <alignment/>
    </xf>
    <xf numFmtId="43" fontId="0" fillId="0" borderId="10" xfId="15" applyBorder="1" applyAlignment="1">
      <alignment/>
    </xf>
    <xf numFmtId="43" fontId="0" fillId="0" borderId="3" xfId="15" applyBorder="1" applyAlignment="1">
      <alignment/>
    </xf>
    <xf numFmtId="43" fontId="2" fillId="0" borderId="6" xfId="15" applyFont="1" applyBorder="1" applyAlignment="1">
      <alignment horizontal="center"/>
    </xf>
    <xf numFmtId="43" fontId="0" fillId="0" borderId="7" xfId="15" applyBorder="1" applyAlignment="1">
      <alignment horizontal="center"/>
    </xf>
    <xf numFmtId="43" fontId="1" fillId="0" borderId="6" xfId="15" applyFont="1" applyBorder="1" applyAlignment="1">
      <alignment horizontal="center"/>
    </xf>
    <xf numFmtId="43" fontId="8" fillId="0" borderId="7" xfId="15" applyFont="1" applyBorder="1" applyAlignment="1">
      <alignment horizontal="center"/>
    </xf>
    <xf numFmtId="43" fontId="8" fillId="0" borderId="9" xfId="15" applyFont="1" applyBorder="1" applyAlignment="1">
      <alignment/>
    </xf>
    <xf numFmtId="43" fontId="2" fillId="0" borderId="6" xfId="15" applyFont="1" applyBorder="1" applyAlignment="1">
      <alignment horizontal="center" vertical="top"/>
    </xf>
    <xf numFmtId="43" fontId="0" fillId="0" borderId="7" xfId="15" applyBorder="1" applyAlignment="1">
      <alignment/>
    </xf>
    <xf numFmtId="43" fontId="1" fillId="0" borderId="6" xfId="15" applyFont="1" applyBorder="1" applyAlignment="1">
      <alignment/>
    </xf>
    <xf numFmtId="43" fontId="1" fillId="0" borderId="7" xfId="15" applyFont="1" applyBorder="1" applyAlignment="1">
      <alignment/>
    </xf>
    <xf numFmtId="43" fontId="8" fillId="0" borderId="3" xfId="15" applyFont="1" applyBorder="1" applyAlignment="1">
      <alignment/>
    </xf>
    <xf numFmtId="0" fontId="8" fillId="0" borderId="16" xfId="0" applyFont="1" applyBorder="1" applyAlignment="1">
      <alignment/>
    </xf>
    <xf numFmtId="43" fontId="7" fillId="0" borderId="14" xfId="15" applyFont="1" applyBorder="1" applyAlignment="1">
      <alignment horizontal="center" vertical="center"/>
    </xf>
    <xf numFmtId="43" fontId="7" fillId="0" borderId="16" xfId="15" applyFont="1" applyBorder="1" applyAlignment="1">
      <alignment horizontal="center" vertical="center"/>
    </xf>
    <xf numFmtId="43" fontId="9" fillId="0" borderId="10" xfId="15" applyFont="1" applyBorder="1" applyAlignment="1">
      <alignment/>
    </xf>
    <xf numFmtId="43" fontId="9" fillId="0" borderId="3" xfId="15" applyFont="1" applyBorder="1" applyAlignment="1">
      <alignment/>
    </xf>
    <xf numFmtId="43" fontId="9" fillId="0" borderId="5" xfId="15" applyFont="1" applyBorder="1" applyAlignment="1">
      <alignment/>
    </xf>
    <xf numFmtId="43" fontId="0" fillId="0" borderId="0" xfId="15" applyAlignment="1">
      <alignment/>
    </xf>
    <xf numFmtId="43" fontId="2" fillId="0" borderId="7" xfId="15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165" fontId="5" fillId="0" borderId="0" xfId="0" applyNumberFormat="1" applyFont="1" applyBorder="1" applyAlignment="1">
      <alignment/>
    </xf>
    <xf numFmtId="182" fontId="12" fillId="0" borderId="6" xfId="15" applyNumberFormat="1" applyFont="1" applyBorder="1" applyAlignment="1">
      <alignment horizontal="center"/>
    </xf>
    <xf numFmtId="182" fontId="0" fillId="0" borderId="7" xfId="0" applyNumberFormat="1" applyBorder="1" applyAlignment="1">
      <alignment horizontal="center"/>
    </xf>
    <xf numFmtId="49" fontId="12" fillId="2" borderId="6" xfId="15" applyNumberFormat="1" applyFont="1" applyFill="1" applyBorder="1" applyAlignment="1">
      <alignment wrapText="1"/>
    </xf>
    <xf numFmtId="0" fontId="8" fillId="0" borderId="7" xfId="0" applyFont="1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8" fillId="0" borderId="5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6" xfId="0" applyFont="1" applyBorder="1" applyAlignment="1">
      <alignment/>
    </xf>
    <xf numFmtId="0" fontId="8" fillId="0" borderId="7" xfId="0" applyFont="1" applyBorder="1" applyAlignment="1">
      <alignment/>
    </xf>
    <xf numFmtId="0" fontId="0" fillId="0" borderId="2" xfId="0" applyBorder="1" applyAlignment="1">
      <alignment/>
    </xf>
    <xf numFmtId="0" fontId="2" fillId="0" borderId="0" xfId="0" applyFont="1" applyBorder="1" applyAlignment="1">
      <alignment horizontal="left"/>
    </xf>
    <xf numFmtId="0" fontId="1" fillId="0" borderId="3" xfId="0" applyFont="1" applyBorder="1" applyAlignment="1">
      <alignment/>
    </xf>
    <xf numFmtId="0" fontId="1" fillId="0" borderId="16" xfId="0" applyFont="1" applyBorder="1" applyAlignment="1">
      <alignment/>
    </xf>
    <xf numFmtId="0" fontId="2" fillId="0" borderId="0" xfId="0" applyFont="1" applyBorder="1" applyAlignment="1">
      <alignment/>
    </xf>
    <xf numFmtId="167" fontId="2" fillId="0" borderId="17" xfId="0" applyNumberFormat="1" applyFont="1" applyBorder="1" applyAlignment="1">
      <alignment/>
    </xf>
    <xf numFmtId="0" fontId="1" fillId="2" borderId="17" xfId="0" applyFont="1" applyFill="1" applyBorder="1" applyAlignment="1">
      <alignment/>
    </xf>
    <xf numFmtId="0" fontId="2" fillId="2" borderId="15" xfId="0" applyFont="1" applyFill="1" applyBorder="1" applyAlignment="1">
      <alignment/>
    </xf>
  </cellXfs>
  <cellStyles count="10">
    <cellStyle name="Normal" xfId="0"/>
    <cellStyle name="Comma" xfId="15"/>
    <cellStyle name="Comma [0]" xfId="16"/>
    <cellStyle name="Milliers [0]_MDT RESE-MixtesVPZ1" xfId="17"/>
    <cellStyle name="Milliers_MDT RESE-MixtesVPZ1" xfId="18"/>
    <cellStyle name="Currency" xfId="19"/>
    <cellStyle name="Currency [0]" xfId="20"/>
    <cellStyle name="Monétaire [0]_MDT RESE-MixtesVPZ1" xfId="21"/>
    <cellStyle name="Monétaire_MDT RESE-MixtesVPZ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worksheet" Target="worksheets/sheet11.xml" /><Relationship Id="rId13" Type="http://schemas.openxmlformats.org/officeDocument/2006/relationships/worksheet" Target="worksheets/sheet12.xml" /><Relationship Id="rId14" Type="http://schemas.openxmlformats.org/officeDocument/2006/relationships/worksheet" Target="worksheets/sheet13.xml" /><Relationship Id="rId15" Type="http://schemas.openxmlformats.org/officeDocument/2006/relationships/worksheet" Target="worksheets/sheet14.xml" /><Relationship Id="rId16" Type="http://schemas.openxmlformats.org/officeDocument/2006/relationships/worksheet" Target="worksheets/sheet15.xml" /><Relationship Id="rId17" Type="http://schemas.openxmlformats.org/officeDocument/2006/relationships/worksheet" Target="worksheets/sheet16.xml" /><Relationship Id="rId18" Type="http://schemas.openxmlformats.org/officeDocument/2006/relationships/worksheet" Target="worksheets/sheet17.xml" /><Relationship Id="rId19" Type="http://schemas.openxmlformats.org/officeDocument/2006/relationships/worksheet" Target="worksheets/sheet18.xml" /><Relationship Id="rId20" Type="http://schemas.openxmlformats.org/officeDocument/2006/relationships/worksheet" Target="worksheets/sheet19.xml" /><Relationship Id="rId21" Type="http://schemas.openxmlformats.org/officeDocument/2006/relationships/worksheet" Target="worksheets/sheet20.xml" /><Relationship Id="rId22" Type="http://schemas.openxmlformats.org/officeDocument/2006/relationships/worksheet" Target="worksheets/sheet21.xml" /><Relationship Id="rId23" Type="http://schemas.openxmlformats.org/officeDocument/2006/relationships/worksheet" Target="worksheets/sheet22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Entrées Remettants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2"/>
          <c:y val="0.1375"/>
          <c:w val="0.71275"/>
          <c:h val="0.8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1995082"/>
        <c:axId val="42411419"/>
      </c:barChart>
      <c:catAx>
        <c:axId val="419950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411419"/>
        <c:crosses val="autoZero"/>
        <c:auto val="1"/>
        <c:lblOffset val="100"/>
        <c:noMultiLvlLbl val="0"/>
      </c:catAx>
      <c:valAx>
        <c:axId val="424114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tonnage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9950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25"/>
          <c:y val="0.43275"/>
          <c:w val="0.168"/>
          <c:h val="0.249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1"/>
  <sheetViews>
    <sheetView workbookViewId="0" zoomToFit="1"/>
  </sheetViews>
  <pageMargins left="0.75" right="0.75" top="1" bottom="1" header="0.4921259845" footer="0.4921259845"/>
  <pageSetup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0.8195</cdr:x>
      <cdr:y>0.028</cdr:y>
    </cdr:from>
    <cdr:to>
      <cdr:x>0.98325</cdr:x>
      <cdr:y>0.09975</cdr:y>
    </cdr:to>
    <cdr:sp>
      <cdr:nvSpPr>
        <cdr:cNvPr id="1" name="TextBox 1"/>
        <cdr:cNvSpPr txBox="1">
          <a:spLocks noChangeArrowheads="1"/>
        </cdr:cNvSpPr>
      </cdr:nvSpPr>
      <cdr:spPr>
        <a:xfrm>
          <a:off x="5648325" y="95250"/>
          <a:ext cx="11334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1" i="0" u="none" baseline="0">
              <a:latin typeface="Arial"/>
              <a:ea typeface="Arial"/>
              <a:cs typeface="Arial"/>
            </a:rPr>
            <a:t>Annexe 12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15</xdr:row>
      <xdr:rowOff>66675</xdr:rowOff>
    </xdr:from>
    <xdr:to>
      <xdr:col>1</xdr:col>
      <xdr:colOff>9525</xdr:colOff>
      <xdr:row>15</xdr:row>
      <xdr:rowOff>66675</xdr:rowOff>
    </xdr:to>
    <xdr:sp>
      <xdr:nvSpPr>
        <xdr:cNvPr id="1" name="Line 1"/>
        <xdr:cNvSpPr>
          <a:spLocks/>
        </xdr:cNvSpPr>
      </xdr:nvSpPr>
      <xdr:spPr>
        <a:xfrm>
          <a:off x="47625" y="2381250"/>
          <a:ext cx="371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</xdr:row>
      <xdr:rowOff>9525</xdr:rowOff>
    </xdr:from>
    <xdr:to>
      <xdr:col>5</xdr:col>
      <xdr:colOff>295275</xdr:colOff>
      <xdr:row>9</xdr:row>
      <xdr:rowOff>9525</xdr:rowOff>
    </xdr:to>
    <xdr:sp>
      <xdr:nvSpPr>
        <xdr:cNvPr id="2" name="Line 2"/>
        <xdr:cNvSpPr>
          <a:spLocks/>
        </xdr:cNvSpPr>
      </xdr:nvSpPr>
      <xdr:spPr>
        <a:xfrm>
          <a:off x="3095625" y="13335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628650</xdr:colOff>
      <xdr:row>54</xdr:row>
      <xdr:rowOff>76200</xdr:rowOff>
    </xdr:from>
    <xdr:to>
      <xdr:col>5</xdr:col>
      <xdr:colOff>200025</xdr:colOff>
      <xdr:row>54</xdr:row>
      <xdr:rowOff>76200</xdr:rowOff>
    </xdr:to>
    <xdr:sp>
      <xdr:nvSpPr>
        <xdr:cNvPr id="3" name="Line 3"/>
        <xdr:cNvSpPr>
          <a:spLocks/>
        </xdr:cNvSpPr>
      </xdr:nvSpPr>
      <xdr:spPr>
        <a:xfrm>
          <a:off x="2752725" y="748665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5</xdr:row>
      <xdr:rowOff>9525</xdr:rowOff>
    </xdr:from>
    <xdr:to>
      <xdr:col>9</xdr:col>
      <xdr:colOff>0</xdr:colOff>
      <xdr:row>13</xdr:row>
      <xdr:rowOff>19050</xdr:rowOff>
    </xdr:to>
    <xdr:sp>
      <xdr:nvSpPr>
        <xdr:cNvPr id="1" name="Line 1"/>
        <xdr:cNvSpPr>
          <a:spLocks/>
        </xdr:cNvSpPr>
      </xdr:nvSpPr>
      <xdr:spPr>
        <a:xfrm>
          <a:off x="6048375" y="857250"/>
          <a:ext cx="0" cy="1171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15</xdr:row>
      <xdr:rowOff>9525</xdr:rowOff>
    </xdr:from>
    <xdr:to>
      <xdr:col>9</xdr:col>
      <xdr:colOff>0</xdr:colOff>
      <xdr:row>24</xdr:row>
      <xdr:rowOff>9525</xdr:rowOff>
    </xdr:to>
    <xdr:sp>
      <xdr:nvSpPr>
        <xdr:cNvPr id="2" name="Line 2"/>
        <xdr:cNvSpPr>
          <a:spLocks/>
        </xdr:cNvSpPr>
      </xdr:nvSpPr>
      <xdr:spPr>
        <a:xfrm>
          <a:off x="6048375" y="2295525"/>
          <a:ext cx="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9525</xdr:rowOff>
    </xdr:from>
    <xdr:to>
      <xdr:col>9</xdr:col>
      <xdr:colOff>0</xdr:colOff>
      <xdr:row>36</xdr:row>
      <xdr:rowOff>9525</xdr:rowOff>
    </xdr:to>
    <xdr:sp>
      <xdr:nvSpPr>
        <xdr:cNvPr id="3" name="Line 3"/>
        <xdr:cNvSpPr>
          <a:spLocks/>
        </xdr:cNvSpPr>
      </xdr:nvSpPr>
      <xdr:spPr>
        <a:xfrm>
          <a:off x="6048375" y="3971925"/>
          <a:ext cx="0" cy="1276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38</xdr:row>
      <xdr:rowOff>9525</xdr:rowOff>
    </xdr:from>
    <xdr:to>
      <xdr:col>9</xdr:col>
      <xdr:colOff>0</xdr:colOff>
      <xdr:row>47</xdr:row>
      <xdr:rowOff>9525</xdr:rowOff>
    </xdr:to>
    <xdr:sp>
      <xdr:nvSpPr>
        <xdr:cNvPr id="4" name="Line 4"/>
        <xdr:cNvSpPr>
          <a:spLocks/>
        </xdr:cNvSpPr>
      </xdr:nvSpPr>
      <xdr:spPr>
        <a:xfrm>
          <a:off x="6048375" y="5514975"/>
          <a:ext cx="0" cy="1276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9525</xdr:rowOff>
    </xdr:from>
    <xdr:to>
      <xdr:col>8</xdr:col>
      <xdr:colOff>0</xdr:colOff>
      <xdr:row>59</xdr:row>
      <xdr:rowOff>9525</xdr:rowOff>
    </xdr:to>
    <xdr:sp>
      <xdr:nvSpPr>
        <xdr:cNvPr id="5" name="Line 5"/>
        <xdr:cNvSpPr>
          <a:spLocks/>
        </xdr:cNvSpPr>
      </xdr:nvSpPr>
      <xdr:spPr>
        <a:xfrm>
          <a:off x="5362575" y="7191375"/>
          <a:ext cx="0" cy="1276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6</xdr:row>
      <xdr:rowOff>9525</xdr:rowOff>
    </xdr:from>
    <xdr:to>
      <xdr:col>8</xdr:col>
      <xdr:colOff>0</xdr:colOff>
      <xdr:row>14</xdr:row>
      <xdr:rowOff>19050</xdr:rowOff>
    </xdr:to>
    <xdr:sp>
      <xdr:nvSpPr>
        <xdr:cNvPr id="1" name="Line 1"/>
        <xdr:cNvSpPr>
          <a:spLocks/>
        </xdr:cNvSpPr>
      </xdr:nvSpPr>
      <xdr:spPr>
        <a:xfrm>
          <a:off x="5248275" y="1019175"/>
          <a:ext cx="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9525</xdr:rowOff>
    </xdr:from>
    <xdr:to>
      <xdr:col>8</xdr:col>
      <xdr:colOff>0</xdr:colOff>
      <xdr:row>25</xdr:row>
      <xdr:rowOff>9525</xdr:rowOff>
    </xdr:to>
    <xdr:sp>
      <xdr:nvSpPr>
        <xdr:cNvPr id="2" name="Line 2"/>
        <xdr:cNvSpPr>
          <a:spLocks/>
        </xdr:cNvSpPr>
      </xdr:nvSpPr>
      <xdr:spPr>
        <a:xfrm>
          <a:off x="5248275" y="2428875"/>
          <a:ext cx="0" cy="1276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37</xdr:row>
      <xdr:rowOff>9525</xdr:rowOff>
    </xdr:to>
    <xdr:sp>
      <xdr:nvSpPr>
        <xdr:cNvPr id="3" name="Line 3"/>
        <xdr:cNvSpPr>
          <a:spLocks/>
        </xdr:cNvSpPr>
      </xdr:nvSpPr>
      <xdr:spPr>
        <a:xfrm>
          <a:off x="5248275" y="4105275"/>
          <a:ext cx="0" cy="1276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39</xdr:row>
      <xdr:rowOff>9525</xdr:rowOff>
    </xdr:from>
    <xdr:to>
      <xdr:col>8</xdr:col>
      <xdr:colOff>0</xdr:colOff>
      <xdr:row>48</xdr:row>
      <xdr:rowOff>9525</xdr:rowOff>
    </xdr:to>
    <xdr:sp>
      <xdr:nvSpPr>
        <xdr:cNvPr id="4" name="Line 4"/>
        <xdr:cNvSpPr>
          <a:spLocks/>
        </xdr:cNvSpPr>
      </xdr:nvSpPr>
      <xdr:spPr>
        <a:xfrm>
          <a:off x="5248275" y="5648325"/>
          <a:ext cx="0" cy="1276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9525</xdr:rowOff>
    </xdr:from>
    <xdr:to>
      <xdr:col>8</xdr:col>
      <xdr:colOff>0</xdr:colOff>
      <xdr:row>59</xdr:row>
      <xdr:rowOff>9525</xdr:rowOff>
    </xdr:to>
    <xdr:sp>
      <xdr:nvSpPr>
        <xdr:cNvPr id="5" name="Line 5"/>
        <xdr:cNvSpPr>
          <a:spLocks/>
        </xdr:cNvSpPr>
      </xdr:nvSpPr>
      <xdr:spPr>
        <a:xfrm>
          <a:off x="5248275" y="7191375"/>
          <a:ext cx="0" cy="1276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6</xdr:row>
      <xdr:rowOff>9525</xdr:rowOff>
    </xdr:from>
    <xdr:to>
      <xdr:col>8</xdr:col>
      <xdr:colOff>0</xdr:colOff>
      <xdr:row>14</xdr:row>
      <xdr:rowOff>19050</xdr:rowOff>
    </xdr:to>
    <xdr:sp>
      <xdr:nvSpPr>
        <xdr:cNvPr id="1" name="Line 6"/>
        <xdr:cNvSpPr>
          <a:spLocks/>
        </xdr:cNvSpPr>
      </xdr:nvSpPr>
      <xdr:spPr>
        <a:xfrm>
          <a:off x="5248275" y="1019175"/>
          <a:ext cx="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9525</xdr:rowOff>
    </xdr:from>
    <xdr:to>
      <xdr:col>8</xdr:col>
      <xdr:colOff>0</xdr:colOff>
      <xdr:row>25</xdr:row>
      <xdr:rowOff>9525</xdr:rowOff>
    </xdr:to>
    <xdr:sp>
      <xdr:nvSpPr>
        <xdr:cNvPr id="2" name="Line 7"/>
        <xdr:cNvSpPr>
          <a:spLocks/>
        </xdr:cNvSpPr>
      </xdr:nvSpPr>
      <xdr:spPr>
        <a:xfrm>
          <a:off x="5248275" y="2428875"/>
          <a:ext cx="0" cy="1276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37</xdr:row>
      <xdr:rowOff>9525</xdr:rowOff>
    </xdr:to>
    <xdr:sp>
      <xdr:nvSpPr>
        <xdr:cNvPr id="3" name="Line 8"/>
        <xdr:cNvSpPr>
          <a:spLocks/>
        </xdr:cNvSpPr>
      </xdr:nvSpPr>
      <xdr:spPr>
        <a:xfrm>
          <a:off x="5248275" y="4105275"/>
          <a:ext cx="0" cy="1276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39</xdr:row>
      <xdr:rowOff>9525</xdr:rowOff>
    </xdr:from>
    <xdr:to>
      <xdr:col>8</xdr:col>
      <xdr:colOff>0</xdr:colOff>
      <xdr:row>48</xdr:row>
      <xdr:rowOff>9525</xdr:rowOff>
    </xdr:to>
    <xdr:sp>
      <xdr:nvSpPr>
        <xdr:cNvPr id="4" name="Line 9"/>
        <xdr:cNvSpPr>
          <a:spLocks/>
        </xdr:cNvSpPr>
      </xdr:nvSpPr>
      <xdr:spPr>
        <a:xfrm>
          <a:off x="5248275" y="5648325"/>
          <a:ext cx="0" cy="1276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9525</xdr:rowOff>
    </xdr:from>
    <xdr:to>
      <xdr:col>8</xdr:col>
      <xdr:colOff>0</xdr:colOff>
      <xdr:row>59</xdr:row>
      <xdr:rowOff>9525</xdr:rowOff>
    </xdr:to>
    <xdr:sp>
      <xdr:nvSpPr>
        <xdr:cNvPr id="5" name="Line 10"/>
        <xdr:cNvSpPr>
          <a:spLocks/>
        </xdr:cNvSpPr>
      </xdr:nvSpPr>
      <xdr:spPr>
        <a:xfrm>
          <a:off x="5248275" y="7191375"/>
          <a:ext cx="0" cy="1276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64</xdr:row>
      <xdr:rowOff>76200</xdr:rowOff>
    </xdr:from>
    <xdr:to>
      <xdr:col>6</xdr:col>
      <xdr:colOff>19050</xdr:colOff>
      <xdr:row>64</xdr:row>
      <xdr:rowOff>76200</xdr:rowOff>
    </xdr:to>
    <xdr:sp>
      <xdr:nvSpPr>
        <xdr:cNvPr id="1" name="Line 115"/>
        <xdr:cNvSpPr>
          <a:spLocks/>
        </xdr:cNvSpPr>
      </xdr:nvSpPr>
      <xdr:spPr>
        <a:xfrm>
          <a:off x="1971675" y="80010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89610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466725</xdr:colOff>
      <xdr:row>31</xdr:row>
      <xdr:rowOff>57150</xdr:rowOff>
    </xdr:from>
    <xdr:to>
      <xdr:col>13</xdr:col>
      <xdr:colOff>209550</xdr:colOff>
      <xdr:row>31</xdr:row>
      <xdr:rowOff>57150</xdr:rowOff>
    </xdr:to>
    <xdr:sp>
      <xdr:nvSpPr>
        <xdr:cNvPr id="1" name="Line 10"/>
        <xdr:cNvSpPr>
          <a:spLocks/>
        </xdr:cNvSpPr>
      </xdr:nvSpPr>
      <xdr:spPr>
        <a:xfrm>
          <a:off x="6829425" y="461962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523875</xdr:colOff>
      <xdr:row>31</xdr:row>
      <xdr:rowOff>57150</xdr:rowOff>
    </xdr:from>
    <xdr:to>
      <xdr:col>11</xdr:col>
      <xdr:colOff>200025</xdr:colOff>
      <xdr:row>31</xdr:row>
      <xdr:rowOff>57150</xdr:rowOff>
    </xdr:to>
    <xdr:sp>
      <xdr:nvSpPr>
        <xdr:cNvPr id="2" name="Line 11"/>
        <xdr:cNvSpPr>
          <a:spLocks/>
        </xdr:cNvSpPr>
      </xdr:nvSpPr>
      <xdr:spPr>
        <a:xfrm>
          <a:off x="5762625" y="461962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904875</xdr:colOff>
      <xdr:row>6</xdr:row>
      <xdr:rowOff>85725</xdr:rowOff>
    </xdr:from>
    <xdr:to>
      <xdr:col>2</xdr:col>
      <xdr:colOff>247650</xdr:colOff>
      <xdr:row>6</xdr:row>
      <xdr:rowOff>85725</xdr:rowOff>
    </xdr:to>
    <xdr:sp>
      <xdr:nvSpPr>
        <xdr:cNvPr id="1" name="Line 19"/>
        <xdr:cNvSpPr>
          <a:spLocks/>
        </xdr:cNvSpPr>
      </xdr:nvSpPr>
      <xdr:spPr>
        <a:xfrm>
          <a:off x="1981200" y="13620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7</xdr:row>
      <xdr:rowOff>66675</xdr:rowOff>
    </xdr:from>
    <xdr:to>
      <xdr:col>2</xdr:col>
      <xdr:colOff>285750</xdr:colOff>
      <xdr:row>7</xdr:row>
      <xdr:rowOff>66675</xdr:rowOff>
    </xdr:to>
    <xdr:sp>
      <xdr:nvSpPr>
        <xdr:cNvPr id="2" name="Line 20"/>
        <xdr:cNvSpPr>
          <a:spLocks/>
        </xdr:cNvSpPr>
      </xdr:nvSpPr>
      <xdr:spPr>
        <a:xfrm>
          <a:off x="1981200" y="150495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514350</xdr:colOff>
      <xdr:row>32</xdr:row>
      <xdr:rowOff>85725</xdr:rowOff>
    </xdr:from>
    <xdr:to>
      <xdr:col>2</xdr:col>
      <xdr:colOff>609600</xdr:colOff>
      <xdr:row>32</xdr:row>
      <xdr:rowOff>85725</xdr:rowOff>
    </xdr:to>
    <xdr:sp>
      <xdr:nvSpPr>
        <xdr:cNvPr id="1" name="Line 3"/>
        <xdr:cNvSpPr>
          <a:spLocks/>
        </xdr:cNvSpPr>
      </xdr:nvSpPr>
      <xdr:spPr>
        <a:xfrm>
          <a:off x="1752600" y="49911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514350</xdr:colOff>
      <xdr:row>24</xdr:row>
      <xdr:rowOff>85725</xdr:rowOff>
    </xdr:from>
    <xdr:to>
      <xdr:col>5</xdr:col>
      <xdr:colOff>581025</xdr:colOff>
      <xdr:row>24</xdr:row>
      <xdr:rowOff>85725</xdr:rowOff>
    </xdr:to>
    <xdr:sp>
      <xdr:nvSpPr>
        <xdr:cNvPr id="2" name="Line 4"/>
        <xdr:cNvSpPr>
          <a:spLocks/>
        </xdr:cNvSpPr>
      </xdr:nvSpPr>
      <xdr:spPr>
        <a:xfrm>
          <a:off x="3657600" y="37719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27</xdr:row>
      <xdr:rowOff>76200</xdr:rowOff>
    </xdr:from>
    <xdr:to>
      <xdr:col>6</xdr:col>
      <xdr:colOff>0</xdr:colOff>
      <xdr:row>27</xdr:row>
      <xdr:rowOff>76200</xdr:rowOff>
    </xdr:to>
    <xdr:sp>
      <xdr:nvSpPr>
        <xdr:cNvPr id="3" name="Line 13"/>
        <xdr:cNvSpPr>
          <a:spLocks/>
        </xdr:cNvSpPr>
      </xdr:nvSpPr>
      <xdr:spPr>
        <a:xfrm flipV="1">
          <a:off x="3438525" y="424815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514350</xdr:colOff>
      <xdr:row>25</xdr:row>
      <xdr:rowOff>85725</xdr:rowOff>
    </xdr:from>
    <xdr:to>
      <xdr:col>5</xdr:col>
      <xdr:colOff>581025</xdr:colOff>
      <xdr:row>25</xdr:row>
      <xdr:rowOff>85725</xdr:rowOff>
    </xdr:to>
    <xdr:sp>
      <xdr:nvSpPr>
        <xdr:cNvPr id="4" name="Line 16"/>
        <xdr:cNvSpPr>
          <a:spLocks/>
        </xdr:cNvSpPr>
      </xdr:nvSpPr>
      <xdr:spPr>
        <a:xfrm>
          <a:off x="3657600" y="39147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590550</xdr:colOff>
      <xdr:row>22</xdr:row>
      <xdr:rowOff>114300</xdr:rowOff>
    </xdr:from>
    <xdr:to>
      <xdr:col>2</xdr:col>
      <xdr:colOff>228600</xdr:colOff>
      <xdr:row>23</xdr:row>
      <xdr:rowOff>76200</xdr:rowOff>
    </xdr:to>
    <xdr:sp>
      <xdr:nvSpPr>
        <xdr:cNvPr id="5" name="Line 19"/>
        <xdr:cNvSpPr>
          <a:spLocks/>
        </xdr:cNvSpPr>
      </xdr:nvSpPr>
      <xdr:spPr>
        <a:xfrm flipV="1">
          <a:off x="1209675" y="3514725"/>
          <a:ext cx="25717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561975</xdr:colOff>
      <xdr:row>7</xdr:row>
      <xdr:rowOff>0</xdr:rowOff>
    </xdr:from>
    <xdr:to>
      <xdr:col>9</xdr:col>
      <xdr:colOff>247650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5514975" y="124777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561975</xdr:colOff>
      <xdr:row>8</xdr:row>
      <xdr:rowOff>0</xdr:rowOff>
    </xdr:from>
    <xdr:to>
      <xdr:col>9</xdr:col>
      <xdr:colOff>247650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5514975" y="139065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561975</xdr:colOff>
      <xdr:row>9</xdr:row>
      <xdr:rowOff>0</xdr:rowOff>
    </xdr:from>
    <xdr:to>
      <xdr:col>9</xdr:col>
      <xdr:colOff>247650</xdr:colOff>
      <xdr:row>9</xdr:row>
      <xdr:rowOff>0</xdr:rowOff>
    </xdr:to>
    <xdr:sp>
      <xdr:nvSpPr>
        <xdr:cNvPr id="3" name="Line 3"/>
        <xdr:cNvSpPr>
          <a:spLocks/>
        </xdr:cNvSpPr>
      </xdr:nvSpPr>
      <xdr:spPr>
        <a:xfrm>
          <a:off x="5514975" y="153352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600075</xdr:colOff>
      <xdr:row>4</xdr:row>
      <xdr:rowOff>123825</xdr:rowOff>
    </xdr:from>
    <xdr:to>
      <xdr:col>8</xdr:col>
      <xdr:colOff>47625</xdr:colOff>
      <xdr:row>4</xdr:row>
      <xdr:rowOff>123825</xdr:rowOff>
    </xdr:to>
    <xdr:sp>
      <xdr:nvSpPr>
        <xdr:cNvPr id="4" name="Line 8"/>
        <xdr:cNvSpPr>
          <a:spLocks/>
        </xdr:cNvSpPr>
      </xdr:nvSpPr>
      <xdr:spPr>
        <a:xfrm>
          <a:off x="4314825" y="94297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476250</xdr:colOff>
      <xdr:row>4</xdr:row>
      <xdr:rowOff>76200</xdr:rowOff>
    </xdr:from>
    <xdr:to>
      <xdr:col>5</xdr:col>
      <xdr:colOff>609600</xdr:colOff>
      <xdr:row>4</xdr:row>
      <xdr:rowOff>76200</xdr:rowOff>
    </xdr:to>
    <xdr:sp>
      <xdr:nvSpPr>
        <xdr:cNvPr id="5" name="Line 10"/>
        <xdr:cNvSpPr>
          <a:spLocks/>
        </xdr:cNvSpPr>
      </xdr:nvSpPr>
      <xdr:spPr>
        <a:xfrm>
          <a:off x="3571875" y="8953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476250</xdr:colOff>
      <xdr:row>13</xdr:row>
      <xdr:rowOff>76200</xdr:rowOff>
    </xdr:from>
    <xdr:to>
      <xdr:col>2</xdr:col>
      <xdr:colOff>609600</xdr:colOff>
      <xdr:row>13</xdr:row>
      <xdr:rowOff>76200</xdr:rowOff>
    </xdr:to>
    <xdr:sp>
      <xdr:nvSpPr>
        <xdr:cNvPr id="6" name="Line 11"/>
        <xdr:cNvSpPr>
          <a:spLocks/>
        </xdr:cNvSpPr>
      </xdr:nvSpPr>
      <xdr:spPr>
        <a:xfrm>
          <a:off x="1714500" y="22002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476250</xdr:colOff>
      <xdr:row>4</xdr:row>
      <xdr:rowOff>76200</xdr:rowOff>
    </xdr:from>
    <xdr:to>
      <xdr:col>11</xdr:col>
      <xdr:colOff>609600</xdr:colOff>
      <xdr:row>4</xdr:row>
      <xdr:rowOff>76200</xdr:rowOff>
    </xdr:to>
    <xdr:sp>
      <xdr:nvSpPr>
        <xdr:cNvPr id="7" name="Line 12"/>
        <xdr:cNvSpPr>
          <a:spLocks/>
        </xdr:cNvSpPr>
      </xdr:nvSpPr>
      <xdr:spPr>
        <a:xfrm>
          <a:off x="7229475" y="8953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476250</xdr:colOff>
      <xdr:row>13</xdr:row>
      <xdr:rowOff>76200</xdr:rowOff>
    </xdr:from>
    <xdr:to>
      <xdr:col>5</xdr:col>
      <xdr:colOff>609600</xdr:colOff>
      <xdr:row>13</xdr:row>
      <xdr:rowOff>76200</xdr:rowOff>
    </xdr:to>
    <xdr:sp>
      <xdr:nvSpPr>
        <xdr:cNvPr id="8" name="Line 13"/>
        <xdr:cNvSpPr>
          <a:spLocks/>
        </xdr:cNvSpPr>
      </xdr:nvSpPr>
      <xdr:spPr>
        <a:xfrm>
          <a:off x="3571875" y="22002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476250</xdr:colOff>
      <xdr:row>5</xdr:row>
      <xdr:rowOff>76200</xdr:rowOff>
    </xdr:from>
    <xdr:to>
      <xdr:col>5</xdr:col>
      <xdr:colOff>609600</xdr:colOff>
      <xdr:row>5</xdr:row>
      <xdr:rowOff>76200</xdr:rowOff>
    </xdr:to>
    <xdr:sp>
      <xdr:nvSpPr>
        <xdr:cNvPr id="9" name="Line 21"/>
        <xdr:cNvSpPr>
          <a:spLocks/>
        </xdr:cNvSpPr>
      </xdr:nvSpPr>
      <xdr:spPr>
        <a:xfrm>
          <a:off x="3571875" y="10382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476250</xdr:colOff>
      <xdr:row>4</xdr:row>
      <xdr:rowOff>76200</xdr:rowOff>
    </xdr:from>
    <xdr:to>
      <xdr:col>3</xdr:col>
      <xdr:colOff>0</xdr:colOff>
      <xdr:row>4</xdr:row>
      <xdr:rowOff>76200</xdr:rowOff>
    </xdr:to>
    <xdr:sp>
      <xdr:nvSpPr>
        <xdr:cNvPr id="1" name="Line 1"/>
        <xdr:cNvSpPr>
          <a:spLocks/>
        </xdr:cNvSpPr>
      </xdr:nvSpPr>
      <xdr:spPr>
        <a:xfrm>
          <a:off x="1714500" y="9144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476250</xdr:colOff>
      <xdr:row>32</xdr:row>
      <xdr:rowOff>76200</xdr:rowOff>
    </xdr:from>
    <xdr:to>
      <xdr:col>3</xdr:col>
      <xdr:colOff>0</xdr:colOff>
      <xdr:row>32</xdr:row>
      <xdr:rowOff>76200</xdr:rowOff>
    </xdr:to>
    <xdr:sp>
      <xdr:nvSpPr>
        <xdr:cNvPr id="2" name="Line 2"/>
        <xdr:cNvSpPr>
          <a:spLocks/>
        </xdr:cNvSpPr>
      </xdr:nvSpPr>
      <xdr:spPr>
        <a:xfrm>
          <a:off x="1714500" y="49815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476250</xdr:colOff>
      <xdr:row>23</xdr:row>
      <xdr:rowOff>76200</xdr:rowOff>
    </xdr:from>
    <xdr:to>
      <xdr:col>3</xdr:col>
      <xdr:colOff>0</xdr:colOff>
      <xdr:row>23</xdr:row>
      <xdr:rowOff>76200</xdr:rowOff>
    </xdr:to>
    <xdr:sp>
      <xdr:nvSpPr>
        <xdr:cNvPr id="3" name="Line 5"/>
        <xdr:cNvSpPr>
          <a:spLocks/>
        </xdr:cNvSpPr>
      </xdr:nvSpPr>
      <xdr:spPr>
        <a:xfrm>
          <a:off x="1714500" y="36766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476250</xdr:colOff>
      <xdr:row>31</xdr:row>
      <xdr:rowOff>76200</xdr:rowOff>
    </xdr:from>
    <xdr:to>
      <xdr:col>6</xdr:col>
      <xdr:colOff>0</xdr:colOff>
      <xdr:row>31</xdr:row>
      <xdr:rowOff>76200</xdr:rowOff>
    </xdr:to>
    <xdr:sp>
      <xdr:nvSpPr>
        <xdr:cNvPr id="4" name="Line 6"/>
        <xdr:cNvSpPr>
          <a:spLocks/>
        </xdr:cNvSpPr>
      </xdr:nvSpPr>
      <xdr:spPr>
        <a:xfrm>
          <a:off x="3571875" y="48387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476250</xdr:colOff>
      <xdr:row>23</xdr:row>
      <xdr:rowOff>76200</xdr:rowOff>
    </xdr:from>
    <xdr:to>
      <xdr:col>6</xdr:col>
      <xdr:colOff>0</xdr:colOff>
      <xdr:row>23</xdr:row>
      <xdr:rowOff>76200</xdr:rowOff>
    </xdr:to>
    <xdr:sp>
      <xdr:nvSpPr>
        <xdr:cNvPr id="5" name="Line 10"/>
        <xdr:cNvSpPr>
          <a:spLocks/>
        </xdr:cNvSpPr>
      </xdr:nvSpPr>
      <xdr:spPr>
        <a:xfrm>
          <a:off x="3571875" y="36766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104775</xdr:colOff>
      <xdr:row>0</xdr:row>
      <xdr:rowOff>9525</xdr:rowOff>
    </xdr:from>
    <xdr:to>
      <xdr:col>13</xdr:col>
      <xdr:colOff>19050</xdr:colOff>
      <xdr:row>0</xdr:row>
      <xdr:rowOff>180975</xdr:rowOff>
    </xdr:to>
    <xdr:sp>
      <xdr:nvSpPr>
        <xdr:cNvPr id="1" name="TextBox 38"/>
        <xdr:cNvSpPr txBox="1">
          <a:spLocks noChangeArrowheads="1"/>
        </xdr:cNvSpPr>
      </xdr:nvSpPr>
      <xdr:spPr>
        <a:xfrm>
          <a:off x="2562225" y="9525"/>
          <a:ext cx="29813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CH                          CH                                CH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390525</xdr:colOff>
      <xdr:row>28</xdr:row>
      <xdr:rowOff>19050</xdr:rowOff>
    </xdr:from>
    <xdr:to>
      <xdr:col>10</xdr:col>
      <xdr:colOff>485775</xdr:colOff>
      <xdr:row>29</xdr:row>
      <xdr:rowOff>142875</xdr:rowOff>
    </xdr:to>
    <xdr:sp>
      <xdr:nvSpPr>
        <xdr:cNvPr id="1" name="AutoShape 19"/>
        <xdr:cNvSpPr>
          <a:spLocks/>
        </xdr:cNvSpPr>
      </xdr:nvSpPr>
      <xdr:spPr>
        <a:xfrm>
          <a:off x="6515100" y="4181475"/>
          <a:ext cx="9525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25</xdr:row>
      <xdr:rowOff>47625</xdr:rowOff>
    </xdr:from>
    <xdr:to>
      <xdr:col>6</xdr:col>
      <xdr:colOff>0</xdr:colOff>
      <xdr:row>28</xdr:row>
      <xdr:rowOff>123825</xdr:rowOff>
    </xdr:to>
    <xdr:sp>
      <xdr:nvSpPr>
        <xdr:cNvPr id="2" name="AutoShape 25"/>
        <xdr:cNvSpPr>
          <a:spLocks/>
        </xdr:cNvSpPr>
      </xdr:nvSpPr>
      <xdr:spPr>
        <a:xfrm>
          <a:off x="142875" y="3781425"/>
          <a:ext cx="3562350" cy="504825"/>
        </a:xfrm>
        <a:prstGeom prst="rect"/>
        <a:noFill/>
      </xdr:spPr>
      <xdr:txBody>
        <a:bodyPr fromWordArt="1" wrap="none">
          <a:prstTxWarp prst="textPlain"/>
          <a:scene3d>
            <a:camera prst="legacyPerspectiveBottomRight">
              <a:rot lat="0" lon="21240000" rev="0"/>
            </a:camera>
            <a:lightRig rig="legacyHarsh3" dir="l"/>
          </a:scene3d>
          <a:sp3d extrusionH="430200" prstMaterial="legacyMatte">
            <a:extrusionClr>
              <a:srgbClr val="C0C0C0"/>
            </a:extrusionClr>
          </a:sp3d>
        </a:bodyPr>
        <a:p>
          <a:pPr algn="ctr"/>
          <a:r>
            <a:rPr sz="1800" kern="10" spc="90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DEE0F4"/>
              </a:solidFill>
              <a:latin typeface="Arial Black"/>
              <a:cs typeface="Arial Black"/>
            </a:rPr>
            <a:t>Stock au 04/01/1999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.D.T%20Reserve%20&#167;%20Silo\MDT%20RESE-MixtesVP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élange RESE-Mixtes VPZ"/>
      <sheetName val="Feuil2"/>
      <sheetName val="Feuil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11.vml" /><Relationship Id="rId3" Type="http://schemas.openxmlformats.org/officeDocument/2006/relationships/drawing" Target="../drawings/drawing14.xml" /><Relationship Id="rId4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6"/>
  <dimension ref="A1:P35"/>
  <sheetViews>
    <sheetView workbookViewId="0" topLeftCell="E9">
      <selection activeCell="L33" sqref="L33"/>
    </sheetView>
  </sheetViews>
  <sheetFormatPr defaultColWidth="11.421875" defaultRowHeight="12.75"/>
  <cols>
    <col min="1" max="1" width="6.421875" style="176" customWidth="1"/>
    <col min="2" max="2" width="7.28125" style="176" customWidth="1"/>
    <col min="3" max="3" width="8.421875" style="176" customWidth="1"/>
    <col min="4" max="4" width="7.28125" style="176" customWidth="1"/>
    <col min="5" max="5" width="8.7109375" style="176" customWidth="1"/>
    <col min="6" max="6" width="8.421875" style="176" customWidth="1"/>
    <col min="7" max="7" width="8.00390625" style="176" customWidth="1"/>
    <col min="8" max="8" width="8.57421875" style="176" customWidth="1"/>
    <col min="9" max="9" width="8.140625" style="176" customWidth="1"/>
    <col min="10" max="10" width="7.28125" style="176" customWidth="1"/>
    <col min="11" max="11" width="8.57421875" style="176" customWidth="1"/>
    <col min="12" max="12" width="8.28125" style="176" customWidth="1"/>
    <col min="13" max="13" width="7.57421875" style="176" customWidth="1"/>
    <col min="14" max="14" width="8.421875" style="176" customWidth="1"/>
    <col min="15" max="15" width="10.57421875" style="176" customWidth="1"/>
    <col min="16" max="17" width="7.140625" style="176" customWidth="1"/>
    <col min="18" max="19" width="7.00390625" style="176" customWidth="1"/>
    <col min="20" max="20" width="7.7109375" style="176" customWidth="1"/>
    <col min="21" max="16384" width="11.421875" style="176" customWidth="1"/>
  </cols>
  <sheetData>
    <row r="1" spans="1:16" ht="35.25" customHeight="1">
      <c r="A1" s="176" t="s">
        <v>111</v>
      </c>
      <c r="B1" s="464" t="s">
        <v>141</v>
      </c>
      <c r="C1" s="464" t="s">
        <v>142</v>
      </c>
      <c r="D1" s="464" t="s">
        <v>143</v>
      </c>
      <c r="E1" s="464" t="s">
        <v>144</v>
      </c>
      <c r="F1" s="465" t="s">
        <v>145</v>
      </c>
      <c r="G1" s="464" t="s">
        <v>146</v>
      </c>
      <c r="H1" s="464" t="s">
        <v>147</v>
      </c>
      <c r="I1" s="465" t="s">
        <v>243</v>
      </c>
      <c r="J1" s="464" t="s">
        <v>955</v>
      </c>
      <c r="K1" s="464" t="s">
        <v>148</v>
      </c>
      <c r="L1" s="466" t="s">
        <v>215</v>
      </c>
      <c r="M1" s="464" t="s">
        <v>184</v>
      </c>
      <c r="N1" s="464" t="s">
        <v>149</v>
      </c>
      <c r="O1" s="464" t="s">
        <v>150</v>
      </c>
      <c r="P1" s="464"/>
    </row>
    <row r="2" spans="1:16" ht="10.5" customHeight="1">
      <c r="A2" s="176">
        <v>34334</v>
      </c>
      <c r="B2" s="176">
        <v>89732</v>
      </c>
      <c r="C2" s="176">
        <v>181820</v>
      </c>
      <c r="D2" s="176">
        <v>90870</v>
      </c>
      <c r="E2" s="176">
        <f>SUM(C2:D2)</f>
        <v>272690</v>
      </c>
      <c r="F2" s="177">
        <v>176877</v>
      </c>
      <c r="G2" s="176">
        <v>17831</v>
      </c>
      <c r="H2" s="176">
        <f>F2-G2</f>
        <v>159046</v>
      </c>
      <c r="I2" s="177">
        <v>98090</v>
      </c>
      <c r="J2" s="176">
        <v>8166</v>
      </c>
      <c r="K2" s="176">
        <f>I2-J2</f>
        <v>89924</v>
      </c>
      <c r="L2" s="178">
        <f>H2+K2</f>
        <v>248970</v>
      </c>
      <c r="M2" s="176">
        <v>21541</v>
      </c>
      <c r="N2" s="176">
        <f>H2+K2+M2</f>
        <v>270511</v>
      </c>
      <c r="O2" s="176">
        <f>N2</f>
        <v>270511</v>
      </c>
      <c r="P2" s="176"/>
    </row>
    <row r="3" spans="6:12" ht="10.5" customHeight="1">
      <c r="F3" s="177"/>
      <c r="I3" s="177"/>
      <c r="L3" s="178"/>
    </row>
    <row r="4" spans="1:16" ht="10.5" customHeight="1">
      <c r="A4" s="176">
        <v>34365</v>
      </c>
      <c r="B4" s="176"/>
      <c r="C4" s="176">
        <v>138586</v>
      </c>
      <c r="D4" s="176">
        <v>80482</v>
      </c>
      <c r="E4" s="176">
        <f>SUM(C4:D4)</f>
        <v>219068</v>
      </c>
      <c r="F4" s="177">
        <v>169275</v>
      </c>
      <c r="G4" s="176">
        <v>14377</v>
      </c>
      <c r="H4" s="176">
        <f>F4-G4</f>
        <v>154898</v>
      </c>
      <c r="I4" s="177">
        <v>86436</v>
      </c>
      <c r="J4" s="176">
        <v>9355</v>
      </c>
      <c r="K4" s="176">
        <f>I4-J4</f>
        <v>77081</v>
      </c>
      <c r="L4" s="178">
        <f>H4+K4</f>
        <v>231979</v>
      </c>
      <c r="M4" s="176">
        <v>10851</v>
      </c>
      <c r="N4" s="176">
        <f>H4+K4+M4</f>
        <v>242830</v>
      </c>
      <c r="O4" s="176">
        <f>N4</f>
        <v>242830</v>
      </c>
      <c r="P4" s="176"/>
    </row>
    <row r="5" spans="6:12" ht="10.5" customHeight="1">
      <c r="F5" s="177"/>
      <c r="I5" s="177"/>
      <c r="L5" s="178"/>
    </row>
    <row r="6" spans="1:16" ht="10.5" customHeight="1">
      <c r="A6" s="176">
        <v>34393</v>
      </c>
      <c r="B6" s="176"/>
      <c r="C6" s="176">
        <v>204981</v>
      </c>
      <c r="D6" s="176">
        <v>65942</v>
      </c>
      <c r="E6" s="176">
        <f>SUM(C6:D6)</f>
        <v>270923</v>
      </c>
      <c r="F6" s="177">
        <v>199823</v>
      </c>
      <c r="G6" s="176">
        <v>19197</v>
      </c>
      <c r="H6" s="176">
        <f>F6-G6</f>
        <v>180626</v>
      </c>
      <c r="I6" s="177">
        <v>68330</v>
      </c>
      <c r="J6" s="176">
        <v>9664</v>
      </c>
      <c r="K6" s="176">
        <f>I6-J6</f>
        <v>58666</v>
      </c>
      <c r="L6" s="178">
        <f>H6+K6</f>
        <v>239292</v>
      </c>
      <c r="M6" s="176">
        <v>4806</v>
      </c>
      <c r="N6" s="176">
        <f>H6+K6+M6</f>
        <v>244098</v>
      </c>
      <c r="O6" s="176">
        <f>N6</f>
        <v>244098</v>
      </c>
      <c r="P6" s="176"/>
    </row>
    <row r="7" spans="6:13" ht="10.5" customHeight="1">
      <c r="F7" s="177"/>
      <c r="I7" s="177"/>
      <c r="L7" s="178"/>
      <c r="M7" s="176" t="s">
        <v>185</v>
      </c>
    </row>
    <row r="8" spans="1:16" ht="10.5" customHeight="1">
      <c r="A8" s="176">
        <v>34424</v>
      </c>
      <c r="B8" s="176">
        <v>50539</v>
      </c>
      <c r="C8" s="176">
        <v>183866</v>
      </c>
      <c r="D8" s="176">
        <v>56626</v>
      </c>
      <c r="E8" s="176">
        <f>SUM(C8:D8)</f>
        <v>240492</v>
      </c>
      <c r="F8" s="177">
        <v>163329</v>
      </c>
      <c r="G8" s="176">
        <v>11934</v>
      </c>
      <c r="H8" s="176">
        <f>F8-G8</f>
        <v>151395</v>
      </c>
      <c r="I8" s="177">
        <v>31370</v>
      </c>
      <c r="J8" s="176">
        <v>2834</v>
      </c>
      <c r="K8" s="176">
        <f>I8-J8</f>
        <v>28536</v>
      </c>
      <c r="L8" s="178">
        <f>H8+K8</f>
        <v>179931</v>
      </c>
      <c r="M8" s="176">
        <f>6013+4082</f>
        <v>10095</v>
      </c>
      <c r="N8" s="176">
        <f>H8+K8+M8</f>
        <v>190026</v>
      </c>
      <c r="O8" s="176">
        <f>N8</f>
        <v>190026</v>
      </c>
      <c r="P8" s="176"/>
    </row>
    <row r="9" spans="6:12" ht="10.5" customHeight="1">
      <c r="F9" s="177"/>
      <c r="I9" s="177"/>
      <c r="L9" s="178"/>
    </row>
    <row r="10" spans="1:16" ht="10.5" customHeight="1">
      <c r="A10" s="176">
        <v>34454</v>
      </c>
      <c r="B10" s="176">
        <v>89040</v>
      </c>
      <c r="C10" s="176">
        <v>114664</v>
      </c>
      <c r="D10" s="176">
        <v>61390</v>
      </c>
      <c r="E10" s="176">
        <f>SUM(C10:D10)</f>
        <v>176054</v>
      </c>
      <c r="F10" s="177">
        <v>163582</v>
      </c>
      <c r="G10" s="176">
        <v>10816</v>
      </c>
      <c r="H10" s="176">
        <f>F10-G10</f>
        <v>152766</v>
      </c>
      <c r="I10" s="177">
        <v>19764</v>
      </c>
      <c r="J10" s="176">
        <f>1526-763</f>
        <v>763</v>
      </c>
      <c r="K10" s="176">
        <f>I10-J10</f>
        <v>19001</v>
      </c>
      <c r="L10" s="178">
        <f>H10+K10</f>
        <v>171767</v>
      </c>
      <c r="M10" s="176">
        <f>4928+7807</f>
        <v>12735</v>
      </c>
      <c r="N10" s="176">
        <f>H10+K10+M10</f>
        <v>184502</v>
      </c>
      <c r="O10" s="176">
        <f>N10</f>
        <v>184502</v>
      </c>
      <c r="P10" s="176"/>
    </row>
    <row r="11" spans="6:12" ht="10.5" customHeight="1">
      <c r="F11" s="177"/>
      <c r="I11" s="177"/>
      <c r="L11" s="178"/>
    </row>
    <row r="12" spans="1:16" ht="10.5" customHeight="1">
      <c r="A12" s="176">
        <v>34485</v>
      </c>
      <c r="B12" s="176">
        <v>89040</v>
      </c>
      <c r="C12" s="176">
        <v>252099</v>
      </c>
      <c r="D12" s="176">
        <v>57232</v>
      </c>
      <c r="E12" s="176">
        <f>SUM(C12:D12)</f>
        <v>309331</v>
      </c>
      <c r="F12" s="177">
        <v>251107</v>
      </c>
      <c r="G12" s="176">
        <v>12028</v>
      </c>
      <c r="H12" s="176">
        <f>F12-G12</f>
        <v>239079</v>
      </c>
      <c r="I12" s="177">
        <v>26353</v>
      </c>
      <c r="J12" s="176">
        <v>0</v>
      </c>
      <c r="K12" s="176">
        <f>I12-J12</f>
        <v>26353</v>
      </c>
      <c r="L12" s="178">
        <f>H12+K12</f>
        <v>265432</v>
      </c>
      <c r="M12" s="176">
        <f>7247+6600</f>
        <v>13847</v>
      </c>
      <c r="N12" s="176">
        <f>H12+K12+M12</f>
        <v>279279</v>
      </c>
      <c r="O12" s="176">
        <f>N12</f>
        <v>279279</v>
      </c>
      <c r="P12" s="176"/>
    </row>
    <row r="13" spans="6:12" ht="10.5" customHeight="1">
      <c r="F13" s="177"/>
      <c r="I13" s="177"/>
      <c r="L13" s="178"/>
    </row>
    <row r="14" spans="1:16" ht="10.5" customHeight="1">
      <c r="A14" s="176">
        <v>34515</v>
      </c>
      <c r="B14" s="176">
        <f>9000+109650</f>
        <v>118650</v>
      </c>
      <c r="C14" s="176">
        <v>90870</v>
      </c>
      <c r="D14" s="176">
        <f>12259+6945</f>
        <v>19204</v>
      </c>
      <c r="E14" s="176">
        <f>SUM(C14:D14)</f>
        <v>110074</v>
      </c>
      <c r="F14" s="177">
        <v>77461</v>
      </c>
      <c r="G14" s="176">
        <v>10645</v>
      </c>
      <c r="H14" s="176">
        <f>F14-G14</f>
        <v>66816</v>
      </c>
      <c r="I14" s="177">
        <v>4900</v>
      </c>
      <c r="J14" s="176">
        <v>0</v>
      </c>
      <c r="K14" s="176">
        <f>I14-J14</f>
        <v>4900</v>
      </c>
      <c r="L14" s="178">
        <f>H14+K14</f>
        <v>71716</v>
      </c>
      <c r="M14" s="176">
        <v>1949</v>
      </c>
      <c r="N14" s="176">
        <f>H14+K14+M14</f>
        <v>73665</v>
      </c>
      <c r="O14" s="176">
        <f>N14</f>
        <v>73665</v>
      </c>
      <c r="P14" s="176"/>
    </row>
    <row r="15" spans="6:13" ht="10.5" customHeight="1">
      <c r="F15" s="177"/>
      <c r="I15" s="177"/>
      <c r="L15" s="177"/>
      <c r="M15" s="177"/>
    </row>
    <row r="16" spans="1:16" ht="10.5" customHeight="1">
      <c r="A16" s="176">
        <v>34546</v>
      </c>
      <c r="B16" s="176"/>
      <c r="C16" s="176">
        <v>252932</v>
      </c>
      <c r="D16" s="176">
        <v>94440</v>
      </c>
      <c r="E16" s="176">
        <f>SUM(C16:D16)</f>
        <v>347372</v>
      </c>
      <c r="F16" s="177">
        <v>215468</v>
      </c>
      <c r="G16" s="176">
        <v>20302</v>
      </c>
      <c r="H16" s="176">
        <f>F16-G16</f>
        <v>195166</v>
      </c>
      <c r="I16" s="177">
        <v>61741</v>
      </c>
      <c r="J16" s="176">
        <v>0</v>
      </c>
      <c r="K16" s="176">
        <f>I16-J16</f>
        <v>61741</v>
      </c>
      <c r="L16" s="178">
        <f>H16+K16</f>
        <v>256907</v>
      </c>
      <c r="M16" s="177">
        <f>2484+4330</f>
        <v>6814</v>
      </c>
      <c r="N16" s="176">
        <f>H16+K16+M16</f>
        <v>263721</v>
      </c>
      <c r="O16" s="176">
        <f>N16</f>
        <v>263721</v>
      </c>
      <c r="P16" s="176"/>
    </row>
    <row r="17" spans="6:13" ht="10.5" customHeight="1">
      <c r="F17" s="177"/>
      <c r="I17" s="177"/>
      <c r="L17" s="178"/>
      <c r="M17" s="177"/>
    </row>
    <row r="18" spans="1:16" ht="10.5" customHeight="1">
      <c r="A18" s="176">
        <v>34577</v>
      </c>
      <c r="B18" s="176"/>
      <c r="C18" s="176">
        <v>252025</v>
      </c>
      <c r="D18" s="176">
        <f>49009+13257</f>
        <v>62266</v>
      </c>
      <c r="E18" s="176">
        <f>SUM(C18:D18)</f>
        <v>314291</v>
      </c>
      <c r="F18" s="177">
        <f>274163</f>
        <v>274163</v>
      </c>
      <c r="G18" s="176">
        <v>14769</v>
      </c>
      <c r="H18" s="176">
        <f>F18-G18</f>
        <v>259394</v>
      </c>
      <c r="I18" s="177">
        <v>15349</v>
      </c>
      <c r="J18" s="176">
        <v>0</v>
      </c>
      <c r="K18" s="176">
        <f>I18-J18</f>
        <v>15349</v>
      </c>
      <c r="L18" s="178">
        <f>H18+K18</f>
        <v>274743</v>
      </c>
      <c r="M18" s="176">
        <v>0</v>
      </c>
      <c r="N18" s="176">
        <f>H18+K18+M18</f>
        <v>274743</v>
      </c>
      <c r="O18" s="176">
        <f>N18</f>
        <v>274743</v>
      </c>
      <c r="P18" s="176"/>
    </row>
    <row r="19" spans="6:12" ht="10.5" customHeight="1">
      <c r="F19" s="177"/>
      <c r="I19" s="177"/>
      <c r="L19" s="178"/>
    </row>
    <row r="20" spans="1:16" ht="10.5" customHeight="1">
      <c r="A20" s="176">
        <v>34607</v>
      </c>
      <c r="B20" s="176"/>
      <c r="C20" s="176">
        <v>277370</v>
      </c>
      <c r="D20" s="176">
        <f>102366+25940</f>
        <v>128306</v>
      </c>
      <c r="E20" s="176">
        <f>SUM(C20:D20)</f>
        <v>405676</v>
      </c>
      <c r="F20" s="177">
        <v>290075</v>
      </c>
      <c r="G20" s="176">
        <v>17140</v>
      </c>
      <c r="H20" s="176">
        <f>F20-G20</f>
        <v>272935</v>
      </c>
      <c r="I20" s="177">
        <v>0</v>
      </c>
      <c r="J20" s="176">
        <v>0</v>
      </c>
      <c r="K20" s="176">
        <f>I20-J20</f>
        <v>0</v>
      </c>
      <c r="L20" s="178">
        <f>H20+K20</f>
        <v>272935</v>
      </c>
      <c r="M20" s="176">
        <v>0</v>
      </c>
      <c r="N20" s="176">
        <f>H20+K20+M20</f>
        <v>272935</v>
      </c>
      <c r="O20" s="176">
        <f>N20</f>
        <v>272935</v>
      </c>
      <c r="P20" s="176"/>
    </row>
    <row r="21" spans="6:12" ht="10.5" customHeight="1">
      <c r="F21" s="177"/>
      <c r="I21" s="177"/>
      <c r="L21" s="178"/>
    </row>
    <row r="22" spans="1:16" ht="10.5" customHeight="1">
      <c r="A22" s="176">
        <v>34638</v>
      </c>
      <c r="B22" s="176"/>
      <c r="C22" s="176">
        <v>254416</v>
      </c>
      <c r="D22" s="176">
        <f>36187+12470</f>
        <v>48657</v>
      </c>
      <c r="E22" s="176">
        <f>SUM(C22:D22)</f>
        <v>303073</v>
      </c>
      <c r="F22" s="177">
        <v>275926</v>
      </c>
      <c r="G22" s="149">
        <v>21612</v>
      </c>
      <c r="H22" s="176">
        <f>F22-G22</f>
        <v>254314</v>
      </c>
      <c r="I22" s="177">
        <f>12811+42241</f>
        <v>55052</v>
      </c>
      <c r="J22" s="176">
        <v>0</v>
      </c>
      <c r="K22" s="176">
        <f>I22-J22</f>
        <v>55052</v>
      </c>
      <c r="L22" s="178">
        <f>H22+K22</f>
        <v>309366</v>
      </c>
      <c r="M22" s="176">
        <v>0</v>
      </c>
      <c r="N22" s="176">
        <f>H22+K22+M22</f>
        <v>309366</v>
      </c>
      <c r="O22" s="176">
        <f>N22</f>
        <v>309366</v>
      </c>
      <c r="P22" s="176"/>
    </row>
    <row r="23" spans="6:12" ht="10.5" customHeight="1">
      <c r="F23" s="177"/>
      <c r="H23" s="149"/>
      <c r="I23" s="177"/>
      <c r="L23" s="178"/>
    </row>
    <row r="24" spans="1:16" ht="10.5" customHeight="1">
      <c r="A24" s="176">
        <v>34668</v>
      </c>
      <c r="B24" s="176"/>
      <c r="C24" s="176">
        <v>136695</v>
      </c>
      <c r="D24" s="176">
        <v>161607</v>
      </c>
      <c r="E24" s="176">
        <f>SUM(C24:D24)</f>
        <v>298302</v>
      </c>
      <c r="F24" s="177">
        <v>45602</v>
      </c>
      <c r="G24" s="176">
        <v>12419</v>
      </c>
      <c r="H24" s="176">
        <f>F24-G24</f>
        <v>33183</v>
      </c>
      <c r="I24" s="177">
        <v>95894</v>
      </c>
      <c r="J24" s="176">
        <v>0</v>
      </c>
      <c r="K24" s="176">
        <f>I24-J24</f>
        <v>95894</v>
      </c>
      <c r="L24" s="178">
        <f>H24+K24</f>
        <v>129077</v>
      </c>
      <c r="M24" s="176">
        <v>0</v>
      </c>
      <c r="N24" s="176">
        <f>H24+K24+M24</f>
        <v>129077</v>
      </c>
      <c r="O24" s="176">
        <f>N24</f>
        <v>129077</v>
      </c>
      <c r="P24" s="176"/>
    </row>
    <row r="29" spans="1:16" ht="10.5" customHeight="1">
      <c r="A29" s="176" t="s">
        <v>2</v>
      </c>
      <c r="B29" s="181">
        <f>SUM(B2:B18)</f>
        <v>437001</v>
      </c>
      <c r="C29" s="181">
        <f>SUM(C2:C19:C28)</f>
        <v>2340324</v>
      </c>
      <c r="D29" s="181">
        <f>SUM(D2:D19:D28)</f>
        <v>927022</v>
      </c>
      <c r="E29" s="181">
        <f>SUM(E2:E19:E28)</f>
        <v>3267346</v>
      </c>
      <c r="F29" s="176">
        <f>SUM(F2:F18:F23)</f>
        <v>2257086</v>
      </c>
      <c r="G29" s="176">
        <f>SUM(G2:G18:G23)</f>
        <v>170651</v>
      </c>
      <c r="H29" s="176">
        <f>SUM(H2:H28)</f>
        <v>2119618</v>
      </c>
      <c r="I29" s="177">
        <f>SUM(I2:I28)</f>
        <v>563279</v>
      </c>
      <c r="J29" s="176">
        <f>SUM(J2:J28)</f>
        <v>30782</v>
      </c>
      <c r="K29" s="179">
        <f>SUM(K2:K28)</f>
        <v>532497</v>
      </c>
      <c r="L29" s="177">
        <f>SUM(L2:L28)</f>
        <v>2652115</v>
      </c>
      <c r="M29" s="149">
        <f>SUM(M2:M28)</f>
        <v>82638</v>
      </c>
      <c r="N29" s="149">
        <f>SUM(N2:N28)</f>
        <v>2734753</v>
      </c>
      <c r="O29" s="176">
        <f>SUM(O2:O28)</f>
        <v>2734753</v>
      </c>
      <c r="P29" s="472">
        <v>10000</v>
      </c>
    </row>
    <row r="30" spans="1:16" ht="10.5" customHeight="1">
      <c r="A30" s="176" t="s">
        <v>202</v>
      </c>
      <c r="B30" s="176"/>
      <c r="C30" s="176">
        <v>184871</v>
      </c>
      <c r="D30" s="176" t="s">
        <v>953</v>
      </c>
      <c r="E30" s="149"/>
      <c r="F30" s="467" t="s">
        <v>244</v>
      </c>
      <c r="G30" s="176"/>
      <c r="H30" s="149">
        <v>118860</v>
      </c>
      <c r="I30" s="177"/>
      <c r="N30" s="181" t="s">
        <v>151</v>
      </c>
      <c r="O30" s="469">
        <f>O29-P29</f>
        <v>2724753</v>
      </c>
      <c r="P30" s="178" t="s">
        <v>959</v>
      </c>
    </row>
    <row r="31" spans="1:16" ht="10.5" customHeight="1">
      <c r="A31" s="181" t="s">
        <v>203</v>
      </c>
      <c r="B31" s="176"/>
      <c r="C31" s="180">
        <f>SUM(C29:C30)</f>
        <v>2525195</v>
      </c>
      <c r="E31" s="149"/>
      <c r="G31" s="181" t="s">
        <v>212</v>
      </c>
      <c r="H31" s="181">
        <f>SUM(H29:H30)</f>
        <v>2238478</v>
      </c>
      <c r="I31" s="468" t="s">
        <v>957</v>
      </c>
      <c r="J31" s="181"/>
      <c r="K31" s="468" t="s">
        <v>956</v>
      </c>
      <c r="L31" s="473" t="s">
        <v>958</v>
      </c>
      <c r="P31" s="471" t="s">
        <v>960</v>
      </c>
    </row>
    <row r="32" spans="1:14" ht="10.5" customHeight="1">
      <c r="A32" s="469" t="s">
        <v>952</v>
      </c>
      <c r="G32" s="470" t="s">
        <v>954</v>
      </c>
      <c r="H32" s="181"/>
      <c r="I32" s="591">
        <f>D29-K29</f>
        <v>394525</v>
      </c>
      <c r="J32" s="592"/>
      <c r="K32" s="177">
        <f>C29-F29</f>
        <v>83238</v>
      </c>
      <c r="L32" s="470">
        <v>10000</v>
      </c>
      <c r="M32" s="470">
        <f>SUM(K32:L32)</f>
        <v>93238</v>
      </c>
      <c r="N32" s="176" t="s">
        <v>961</v>
      </c>
    </row>
    <row r="33" spans="7:13" ht="10.5" customHeight="1">
      <c r="G33" s="149"/>
      <c r="H33" s="149"/>
      <c r="I33" s="470"/>
      <c r="J33" s="470"/>
      <c r="K33" s="470"/>
      <c r="L33" s="149"/>
      <c r="M33" s="149"/>
    </row>
    <row r="34" spans="7:13" ht="10.5" customHeight="1">
      <c r="G34" s="149"/>
      <c r="H34" s="149"/>
      <c r="I34" s="149"/>
      <c r="J34" s="149"/>
      <c r="K34" s="149"/>
      <c r="L34" s="149"/>
      <c r="M34" s="149"/>
    </row>
    <row r="35" spans="7:13" ht="10.5" customHeight="1">
      <c r="G35" s="149"/>
      <c r="H35" s="149"/>
      <c r="I35" s="149"/>
      <c r="J35" s="149"/>
      <c r="K35" s="149"/>
      <c r="L35" s="149"/>
      <c r="M35" s="149"/>
    </row>
  </sheetData>
  <mergeCells count="1">
    <mergeCell ref="I32:J3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84" r:id="rId4"/>
  <headerFooter alignWithMargins="0">
    <oddHeader>&amp;LKitenge Somwé&amp;C&amp;A&amp;R&amp;D</oddHeader>
    <oddFooter>&amp;C&amp;F</oddFooter>
  </headerFooter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2"/>
  <dimension ref="A1:M201"/>
  <sheetViews>
    <sheetView workbookViewId="0" topLeftCell="A85">
      <selection activeCell="F104" sqref="F104"/>
    </sheetView>
  </sheetViews>
  <sheetFormatPr defaultColWidth="11.421875" defaultRowHeight="10.5" customHeight="1"/>
  <cols>
    <col min="1" max="1" width="6.57421875" style="566" customWidth="1"/>
    <col min="2" max="6" width="11.421875" style="566" customWidth="1"/>
    <col min="7" max="7" width="10.00390625" style="566" customWidth="1"/>
    <col min="8" max="8" width="13.140625" style="566" customWidth="1"/>
    <col min="9" max="16384" width="11.421875" style="566" customWidth="1"/>
  </cols>
  <sheetData>
    <row r="1" spans="1:8" s="506" customFormat="1" ht="10.5" customHeight="1">
      <c r="A1" s="561" t="s">
        <v>525</v>
      </c>
      <c r="B1" s="561" t="s">
        <v>526</v>
      </c>
      <c r="E1" s="561" t="s">
        <v>527</v>
      </c>
      <c r="F1" s="561" t="s">
        <v>528</v>
      </c>
      <c r="G1" s="561"/>
      <c r="H1" s="562">
        <f ca="1">TODAY()</f>
        <v>34767</v>
      </c>
    </row>
    <row r="2" spans="1:9" s="503" customFormat="1" ht="10.5" customHeight="1">
      <c r="A2" s="504"/>
      <c r="B2" s="504"/>
      <c r="C2" s="504"/>
      <c r="D2" s="504"/>
      <c r="E2" s="504" t="s">
        <v>531</v>
      </c>
      <c r="F2" s="504"/>
      <c r="G2" s="504"/>
      <c r="H2" s="563"/>
      <c r="I2" s="504"/>
    </row>
    <row r="3" spans="1:9" s="503" customFormat="1" ht="10.5" customHeight="1">
      <c r="A3" s="503"/>
      <c r="B3" s="561" t="s">
        <v>404</v>
      </c>
      <c r="C3" s="561" t="s">
        <v>532</v>
      </c>
      <c r="D3" s="561" t="s">
        <v>533</v>
      </c>
      <c r="E3" s="504"/>
      <c r="F3" s="504"/>
      <c r="G3" s="504"/>
      <c r="H3" s="504"/>
      <c r="I3" s="504"/>
    </row>
    <row r="4" spans="1:9" s="503" customFormat="1" ht="10.5" customHeight="1">
      <c r="A4" s="564" t="s">
        <v>999</v>
      </c>
      <c r="B4" s="561">
        <v>314</v>
      </c>
      <c r="C4" s="561">
        <v>607</v>
      </c>
      <c r="D4" s="561">
        <f>SUM(B4:C4)</f>
        <v>921</v>
      </c>
      <c r="E4" s="503"/>
      <c r="F4" s="561" t="s">
        <v>530</v>
      </c>
      <c r="G4" s="506"/>
      <c r="H4" s="504"/>
      <c r="I4" s="504"/>
    </row>
    <row r="5" spans="1:9" s="503" customFormat="1" ht="10.5" customHeight="1">
      <c r="A5" s="564" t="s">
        <v>1000</v>
      </c>
      <c r="B5" s="504">
        <v>314</v>
      </c>
      <c r="C5" s="504">
        <v>607</v>
      </c>
      <c r="D5" s="504">
        <f>SUM(B5:C5)</f>
        <v>921</v>
      </c>
      <c r="F5" s="504"/>
      <c r="G5" s="504"/>
      <c r="H5" s="504"/>
      <c r="I5" s="504"/>
    </row>
    <row r="6" spans="1:9" s="503" customFormat="1" ht="10.5" customHeight="1">
      <c r="A6" s="564" t="s">
        <v>1001</v>
      </c>
      <c r="B6" s="504">
        <v>314</v>
      </c>
      <c r="C6" s="504">
        <v>607</v>
      </c>
      <c r="D6" s="504">
        <f>SUM(B6:C6)</f>
        <v>921</v>
      </c>
      <c r="F6" s="508"/>
      <c r="G6" s="504"/>
      <c r="H6" s="504"/>
      <c r="I6" s="504"/>
    </row>
    <row r="7" spans="1:9" s="503" customFormat="1" ht="10.5" customHeight="1">
      <c r="A7" s="564" t="s">
        <v>1002</v>
      </c>
      <c r="B7" s="504">
        <v>314</v>
      </c>
      <c r="C7" s="504">
        <v>607</v>
      </c>
      <c r="D7" s="504">
        <f>SUM(B7:C7)</f>
        <v>921</v>
      </c>
      <c r="F7" s="504"/>
      <c r="G7" s="504"/>
      <c r="H7" s="504"/>
      <c r="I7" s="504"/>
    </row>
    <row r="8" spans="1:9" s="503" customFormat="1" ht="10.5" customHeight="1">
      <c r="A8" s="564" t="s">
        <v>1003</v>
      </c>
      <c r="B8" s="504">
        <v>314</v>
      </c>
      <c r="C8" s="504">
        <v>607</v>
      </c>
      <c r="D8" s="504">
        <f>SUM(B8:C8)</f>
        <v>921</v>
      </c>
      <c r="E8" s="503"/>
      <c r="F8" s="506" t="s">
        <v>994</v>
      </c>
      <c r="G8" s="506" t="s">
        <v>1140</v>
      </c>
      <c r="H8" s="509"/>
      <c r="I8" s="504"/>
    </row>
    <row r="9" spans="1:8" s="503" customFormat="1" ht="10.5" customHeight="1">
      <c r="A9" s="564" t="s">
        <v>1004</v>
      </c>
      <c r="B9" s="504">
        <v>314</v>
      </c>
      <c r="C9" s="504">
        <v>607</v>
      </c>
      <c r="D9" s="504">
        <f>SUM(B9:C9)</f>
        <v>921</v>
      </c>
      <c r="E9" s="503"/>
      <c r="F9" s="506">
        <f>35618/107</f>
        <v>332.8785046728972</v>
      </c>
      <c r="H9" s="504"/>
    </row>
    <row r="10" spans="1:8" s="503" customFormat="1" ht="10.5" customHeight="1">
      <c r="A10" s="564" t="s">
        <v>1005</v>
      </c>
      <c r="B10" s="504">
        <v>314</v>
      </c>
      <c r="C10" s="504">
        <v>607</v>
      </c>
      <c r="D10" s="504">
        <f>SUM(B10:C10)</f>
        <v>921</v>
      </c>
      <c r="H10" s="504"/>
    </row>
    <row r="11" spans="1:10" s="503" customFormat="1" ht="10.5" customHeight="1">
      <c r="A11" s="564" t="s">
        <v>1006</v>
      </c>
      <c r="B11" s="504">
        <v>314</v>
      </c>
      <c r="C11" s="504">
        <v>607</v>
      </c>
      <c r="D11" s="504">
        <f>SUM(B11:C11)</f>
        <v>921</v>
      </c>
      <c r="H11" s="504"/>
      <c r="I11" s="505"/>
      <c r="J11" s="505"/>
    </row>
    <row r="12" spans="1:10" s="503" customFormat="1" ht="10.5" customHeight="1">
      <c r="A12" s="564" t="s">
        <v>1007</v>
      </c>
      <c r="B12" s="504">
        <v>314</v>
      </c>
      <c r="C12" s="504">
        <v>607</v>
      </c>
      <c r="D12" s="504">
        <f>SUM(B12:C12)</f>
        <v>921</v>
      </c>
      <c r="E12" s="503"/>
      <c r="F12" s="506" t="s">
        <v>997</v>
      </c>
      <c r="H12" s="505"/>
      <c r="I12" s="505"/>
      <c r="J12" s="505"/>
    </row>
    <row r="13" spans="1:10" s="503" customFormat="1" ht="10.5" customHeight="1">
      <c r="A13" s="564" t="s">
        <v>1008</v>
      </c>
      <c r="B13" s="504">
        <v>314</v>
      </c>
      <c r="C13" s="504">
        <v>607</v>
      </c>
      <c r="D13" s="504">
        <f>SUM(B13:C13)</f>
        <v>921</v>
      </c>
      <c r="E13" s="503"/>
      <c r="F13" s="506" t="s">
        <v>998</v>
      </c>
      <c r="H13" s="505"/>
      <c r="I13" s="505"/>
      <c r="J13" s="505"/>
    </row>
    <row r="14" spans="1:10" s="503" customFormat="1" ht="10.5" customHeight="1">
      <c r="A14" s="564" t="s">
        <v>1009</v>
      </c>
      <c r="B14" s="504">
        <v>314</v>
      </c>
      <c r="C14" s="504">
        <v>607</v>
      </c>
      <c r="D14" s="504">
        <f>SUM(B14:C14)</f>
        <v>921</v>
      </c>
      <c r="E14" s="503"/>
      <c r="F14" s="506">
        <f>48978/107</f>
        <v>457.7383177570093</v>
      </c>
      <c r="H14" s="505"/>
      <c r="I14" s="505"/>
      <c r="J14" s="505"/>
    </row>
    <row r="15" spans="1:10" s="503" customFormat="1" ht="10.5" customHeight="1">
      <c r="A15" s="564" t="s">
        <v>1010</v>
      </c>
      <c r="B15" s="504">
        <v>314</v>
      </c>
      <c r="C15" s="504">
        <v>607</v>
      </c>
      <c r="D15" s="504">
        <f>SUM(B15:C15)</f>
        <v>921</v>
      </c>
      <c r="F15" s="505"/>
      <c r="G15" s="505"/>
      <c r="H15" s="505"/>
      <c r="I15" s="505"/>
      <c r="J15" s="505"/>
    </row>
    <row r="16" spans="1:10" s="503" customFormat="1" ht="10.5" customHeight="1">
      <c r="A16" s="564" t="s">
        <v>1011</v>
      </c>
      <c r="B16" s="504">
        <v>314</v>
      </c>
      <c r="C16" s="504">
        <v>607</v>
      </c>
      <c r="D16" s="504">
        <f>SUM(B16:C16)</f>
        <v>921</v>
      </c>
      <c r="F16" s="505"/>
      <c r="G16" s="505"/>
      <c r="H16" s="505"/>
      <c r="I16" s="505"/>
      <c r="J16" s="505"/>
    </row>
    <row r="17" spans="1:10" s="503" customFormat="1" ht="10.5" customHeight="1">
      <c r="A17" s="564" t="s">
        <v>1012</v>
      </c>
      <c r="B17" s="504">
        <v>314</v>
      </c>
      <c r="C17" s="504">
        <v>607</v>
      </c>
      <c r="D17" s="504">
        <f>SUM(B17:C17)</f>
        <v>921</v>
      </c>
      <c r="F17" s="505"/>
      <c r="G17" s="505"/>
      <c r="H17" s="505"/>
      <c r="I17" s="505"/>
      <c r="J17" s="505"/>
    </row>
    <row r="18" spans="1:10" s="503" customFormat="1" ht="10.5" customHeight="1">
      <c r="A18" s="564" t="s">
        <v>1013</v>
      </c>
      <c r="B18" s="504">
        <v>314</v>
      </c>
      <c r="C18" s="504">
        <v>607</v>
      </c>
      <c r="D18" s="504">
        <f>SUM(B18:C18)</f>
        <v>921</v>
      </c>
      <c r="F18" s="505"/>
      <c r="G18" s="505"/>
      <c r="H18" s="505"/>
      <c r="I18" s="505"/>
      <c r="J18" s="505"/>
    </row>
    <row r="19" spans="1:10" s="503" customFormat="1" ht="10.5" customHeight="1">
      <c r="A19" s="564" t="s">
        <v>1014</v>
      </c>
      <c r="B19" s="504">
        <v>314</v>
      </c>
      <c r="C19" s="504">
        <v>607</v>
      </c>
      <c r="D19" s="504">
        <f>SUM(B19:C19)</f>
        <v>921</v>
      </c>
      <c r="F19" s="505"/>
      <c r="G19" s="505"/>
      <c r="H19" s="505"/>
      <c r="I19" s="505"/>
      <c r="J19" s="505"/>
    </row>
    <row r="20" spans="1:12" s="503" customFormat="1" ht="10.5" customHeight="1">
      <c r="A20" s="564" t="s">
        <v>1015</v>
      </c>
      <c r="B20" s="504">
        <v>314</v>
      </c>
      <c r="C20" s="504">
        <v>607</v>
      </c>
      <c r="D20" s="504">
        <f>SUM(B20:C20)</f>
        <v>921</v>
      </c>
      <c r="F20" s="505"/>
      <c r="G20" s="505"/>
      <c r="H20" s="505"/>
      <c r="I20" s="505"/>
      <c r="J20" s="505"/>
      <c r="K20" s="505"/>
      <c r="L20" s="505"/>
    </row>
    <row r="21" spans="1:12" s="503" customFormat="1" ht="10.5" customHeight="1">
      <c r="A21" s="564" t="s">
        <v>1016</v>
      </c>
      <c r="B21" s="504">
        <v>314</v>
      </c>
      <c r="C21" s="504">
        <v>607</v>
      </c>
      <c r="D21" s="504">
        <f>SUM(B21:C21)</f>
        <v>921</v>
      </c>
      <c r="F21" s="505"/>
      <c r="G21" s="505"/>
      <c r="H21" s="505"/>
      <c r="I21" s="505"/>
      <c r="J21" s="505"/>
      <c r="K21" s="505"/>
      <c r="L21" s="505"/>
    </row>
    <row r="22" spans="1:12" s="503" customFormat="1" ht="10.5" customHeight="1">
      <c r="A22" s="564" t="s">
        <v>1017</v>
      </c>
      <c r="B22" s="504">
        <v>314</v>
      </c>
      <c r="C22" s="504">
        <v>607</v>
      </c>
      <c r="D22" s="504">
        <f>SUM(B22:C22)</f>
        <v>921</v>
      </c>
      <c r="F22" s="505"/>
      <c r="G22" s="505"/>
      <c r="H22" s="505"/>
      <c r="I22" s="505"/>
      <c r="J22" s="505"/>
      <c r="K22" s="505"/>
      <c r="L22" s="505"/>
    </row>
    <row r="23" spans="1:12" s="503" customFormat="1" ht="10.5" customHeight="1">
      <c r="A23" s="564" t="s">
        <v>1018</v>
      </c>
      <c r="B23" s="504">
        <v>314</v>
      </c>
      <c r="C23" s="504">
        <v>607</v>
      </c>
      <c r="D23" s="504">
        <f>SUM(B23:C23)</f>
        <v>921</v>
      </c>
      <c r="F23" s="505"/>
      <c r="G23" s="505"/>
      <c r="H23" s="505"/>
      <c r="I23" s="505"/>
      <c r="J23" s="505"/>
      <c r="K23" s="505"/>
      <c r="L23" s="505"/>
    </row>
    <row r="24" spans="1:8" s="503" customFormat="1" ht="10.5" customHeight="1">
      <c r="A24" s="564" t="s">
        <v>1019</v>
      </c>
      <c r="B24" s="504">
        <v>314</v>
      </c>
      <c r="C24" s="504">
        <v>607</v>
      </c>
      <c r="D24" s="504">
        <f>SUM(B24:C24)</f>
        <v>921</v>
      </c>
      <c r="F24" s="565"/>
      <c r="G24" s="505"/>
      <c r="H24" s="505"/>
    </row>
    <row r="25" spans="1:8" s="503" customFormat="1" ht="10.5" customHeight="1">
      <c r="A25" s="564" t="s">
        <v>1020</v>
      </c>
      <c r="B25" s="504">
        <v>314</v>
      </c>
      <c r="C25" s="504">
        <v>607</v>
      </c>
      <c r="D25" s="504">
        <f>SUM(B25:C25)</f>
        <v>921</v>
      </c>
      <c r="F25" s="505"/>
      <c r="G25" s="505"/>
      <c r="H25" s="505"/>
    </row>
    <row r="26" spans="1:8" s="503" customFormat="1" ht="10.5" customHeight="1">
      <c r="A26" s="564" t="s">
        <v>1021</v>
      </c>
      <c r="B26" s="504">
        <v>314</v>
      </c>
      <c r="C26" s="504">
        <v>607</v>
      </c>
      <c r="D26" s="504">
        <f>SUM(B26:C26)</f>
        <v>921</v>
      </c>
      <c r="F26" s="505"/>
      <c r="G26" s="505"/>
      <c r="H26" s="505"/>
    </row>
    <row r="27" spans="1:8" s="503" customFormat="1" ht="10.5" customHeight="1">
      <c r="A27" s="564" t="s">
        <v>1022</v>
      </c>
      <c r="B27" s="504">
        <v>314</v>
      </c>
      <c r="C27" s="504">
        <v>607</v>
      </c>
      <c r="D27" s="504">
        <f>SUM(B27:C27)</f>
        <v>921</v>
      </c>
      <c r="F27" s="505"/>
      <c r="G27" s="505"/>
      <c r="H27" s="505"/>
    </row>
    <row r="28" spans="1:8" s="503" customFormat="1" ht="10.5" customHeight="1">
      <c r="A28" s="564" t="s">
        <v>1023</v>
      </c>
      <c r="B28" s="504">
        <v>314</v>
      </c>
      <c r="C28" s="504">
        <v>607</v>
      </c>
      <c r="D28" s="504">
        <f>SUM(B28:C28)</f>
        <v>921</v>
      </c>
      <c r="F28" s="505"/>
      <c r="G28" s="505"/>
      <c r="H28" s="505"/>
    </row>
    <row r="29" spans="1:4" s="503" customFormat="1" ht="10.5" customHeight="1">
      <c r="A29" s="564" t="s">
        <v>1024</v>
      </c>
      <c r="B29" s="504">
        <v>314</v>
      </c>
      <c r="C29" s="504">
        <v>607</v>
      </c>
      <c r="D29" s="504">
        <f>SUM(B29:C29)</f>
        <v>921</v>
      </c>
    </row>
    <row r="30" spans="1:4" s="503" customFormat="1" ht="10.5" customHeight="1">
      <c r="A30" s="564" t="s">
        <v>1025</v>
      </c>
      <c r="B30" s="504">
        <v>314</v>
      </c>
      <c r="C30" s="504">
        <v>607</v>
      </c>
      <c r="D30" s="504">
        <f>SUM(B30:C30)</f>
        <v>921</v>
      </c>
    </row>
    <row r="31" spans="1:4" s="503" customFormat="1" ht="10.5" customHeight="1">
      <c r="A31" s="564" t="s">
        <v>1026</v>
      </c>
      <c r="B31" s="504">
        <v>314</v>
      </c>
      <c r="C31" s="504">
        <v>607</v>
      </c>
      <c r="D31" s="504">
        <f>SUM(B31:C31)</f>
        <v>921</v>
      </c>
    </row>
    <row r="32" spans="1:4" s="503" customFormat="1" ht="10.5" customHeight="1">
      <c r="A32" s="564" t="s">
        <v>1027</v>
      </c>
      <c r="B32" s="504">
        <v>314</v>
      </c>
      <c r="C32" s="504">
        <v>607</v>
      </c>
      <c r="D32" s="504">
        <f>SUM(B32:C32)</f>
        <v>921</v>
      </c>
    </row>
    <row r="33" spans="1:4" s="503" customFormat="1" ht="10.5" customHeight="1">
      <c r="A33" s="564" t="s">
        <v>1028</v>
      </c>
      <c r="B33" s="504">
        <v>314</v>
      </c>
      <c r="C33" s="504">
        <v>607</v>
      </c>
      <c r="D33" s="504">
        <f>SUM(B33:C33)</f>
        <v>921</v>
      </c>
    </row>
    <row r="34" spans="1:4" s="503" customFormat="1" ht="10.5" customHeight="1">
      <c r="A34" s="564" t="s">
        <v>1029</v>
      </c>
      <c r="B34" s="504">
        <v>314</v>
      </c>
      <c r="C34" s="504">
        <v>607</v>
      </c>
      <c r="D34" s="504">
        <f>SUM(B34:C34)</f>
        <v>921</v>
      </c>
    </row>
    <row r="35" spans="1:4" s="503" customFormat="1" ht="10.5" customHeight="1">
      <c r="A35" s="564" t="s">
        <v>1030</v>
      </c>
      <c r="B35" s="504">
        <v>314</v>
      </c>
      <c r="C35" s="504">
        <v>607</v>
      </c>
      <c r="D35" s="504">
        <f>SUM(B35:C35)</f>
        <v>921</v>
      </c>
    </row>
    <row r="36" spans="1:4" s="503" customFormat="1" ht="10.5" customHeight="1">
      <c r="A36" s="564" t="s">
        <v>1031</v>
      </c>
      <c r="B36" s="504">
        <v>314</v>
      </c>
      <c r="C36" s="504">
        <v>607</v>
      </c>
      <c r="D36" s="504">
        <f>SUM(B36:C36)</f>
        <v>921</v>
      </c>
    </row>
    <row r="37" spans="1:4" s="503" customFormat="1" ht="10.5" customHeight="1">
      <c r="A37" s="564" t="s">
        <v>1032</v>
      </c>
      <c r="B37" s="504">
        <v>314</v>
      </c>
      <c r="C37" s="504">
        <v>607</v>
      </c>
      <c r="D37" s="504">
        <f>SUM(B37:C37)</f>
        <v>921</v>
      </c>
    </row>
    <row r="38" spans="1:4" s="503" customFormat="1" ht="10.5" customHeight="1">
      <c r="A38" s="564" t="s">
        <v>1033</v>
      </c>
      <c r="B38" s="504">
        <v>314</v>
      </c>
      <c r="C38" s="504">
        <v>607</v>
      </c>
      <c r="D38" s="504">
        <f>SUM(B38:C38)</f>
        <v>921</v>
      </c>
    </row>
    <row r="39" spans="1:4" s="503" customFormat="1" ht="10.5" customHeight="1">
      <c r="A39" s="564" t="s">
        <v>1034</v>
      </c>
      <c r="B39" s="504">
        <v>314</v>
      </c>
      <c r="C39" s="504">
        <v>607</v>
      </c>
      <c r="D39" s="504">
        <f>SUM(B39:C39)</f>
        <v>921</v>
      </c>
    </row>
    <row r="40" spans="1:4" s="503" customFormat="1" ht="10.5" customHeight="1">
      <c r="A40" s="564" t="s">
        <v>1035</v>
      </c>
      <c r="B40" s="504">
        <v>314</v>
      </c>
      <c r="C40" s="504">
        <v>607</v>
      </c>
      <c r="D40" s="504">
        <f>SUM(B40:C40)</f>
        <v>921</v>
      </c>
    </row>
    <row r="41" spans="1:4" s="503" customFormat="1" ht="10.5" customHeight="1">
      <c r="A41" s="564" t="s">
        <v>1036</v>
      </c>
      <c r="B41" s="504">
        <v>314</v>
      </c>
      <c r="C41" s="504">
        <v>607</v>
      </c>
      <c r="D41" s="504">
        <f>SUM(B41:C41)</f>
        <v>921</v>
      </c>
    </row>
    <row r="42" spans="1:4" s="503" customFormat="1" ht="10.5" customHeight="1">
      <c r="A42" s="564" t="s">
        <v>1037</v>
      </c>
      <c r="B42" s="504">
        <v>314</v>
      </c>
      <c r="C42" s="504">
        <v>607</v>
      </c>
      <c r="D42" s="504">
        <f>SUM(B42:C42)</f>
        <v>921</v>
      </c>
    </row>
    <row r="43" spans="1:4" s="503" customFormat="1" ht="10.5" customHeight="1">
      <c r="A43" s="564" t="s">
        <v>1038</v>
      </c>
      <c r="B43" s="504">
        <v>314</v>
      </c>
      <c r="C43" s="504">
        <v>607</v>
      </c>
      <c r="D43" s="504">
        <f>SUM(B43:C43)</f>
        <v>921</v>
      </c>
    </row>
    <row r="44" spans="1:4" s="503" customFormat="1" ht="10.5" customHeight="1">
      <c r="A44" s="564" t="s">
        <v>1039</v>
      </c>
      <c r="B44" s="504">
        <v>314</v>
      </c>
      <c r="C44" s="504">
        <v>607</v>
      </c>
      <c r="D44" s="504">
        <f>SUM(B44:C44)</f>
        <v>921</v>
      </c>
    </row>
    <row r="45" spans="1:4" s="503" customFormat="1" ht="10.5" customHeight="1">
      <c r="A45" s="564" t="s">
        <v>1040</v>
      </c>
      <c r="B45" s="504">
        <v>314</v>
      </c>
      <c r="C45" s="504">
        <v>607</v>
      </c>
      <c r="D45" s="504">
        <f>SUM(B45:C45)</f>
        <v>921</v>
      </c>
    </row>
    <row r="46" spans="1:4" s="503" customFormat="1" ht="10.5" customHeight="1">
      <c r="A46" s="564" t="s">
        <v>1041</v>
      </c>
      <c r="B46" s="504">
        <v>314</v>
      </c>
      <c r="C46" s="504">
        <v>607</v>
      </c>
      <c r="D46" s="504">
        <f>SUM(B46:C46)</f>
        <v>921</v>
      </c>
    </row>
    <row r="47" spans="1:4" s="503" customFormat="1" ht="10.5" customHeight="1">
      <c r="A47" s="564" t="s">
        <v>1042</v>
      </c>
      <c r="B47" s="504">
        <v>314</v>
      </c>
      <c r="C47" s="504">
        <v>607</v>
      </c>
      <c r="D47" s="504">
        <f>SUM(B47:C47)</f>
        <v>921</v>
      </c>
    </row>
    <row r="48" spans="1:4" s="503" customFormat="1" ht="10.5" customHeight="1">
      <c r="A48" s="564" t="s">
        <v>1043</v>
      </c>
      <c r="B48" s="504">
        <v>314</v>
      </c>
      <c r="C48" s="504">
        <v>607</v>
      </c>
      <c r="D48" s="504">
        <f>SUM(B48:C48)</f>
        <v>921</v>
      </c>
    </row>
    <row r="49" spans="1:4" s="503" customFormat="1" ht="10.5" customHeight="1">
      <c r="A49" s="564" t="s">
        <v>1044</v>
      </c>
      <c r="B49" s="504">
        <v>314</v>
      </c>
      <c r="C49" s="504">
        <v>607</v>
      </c>
      <c r="D49" s="504">
        <f>SUM(B49:C49)</f>
        <v>921</v>
      </c>
    </row>
    <row r="50" spans="1:4" s="503" customFormat="1" ht="10.5" customHeight="1">
      <c r="A50" s="564" t="s">
        <v>1045</v>
      </c>
      <c r="B50" s="504">
        <v>314</v>
      </c>
      <c r="C50" s="504">
        <v>607</v>
      </c>
      <c r="D50" s="504">
        <f>SUM(B50:C50)</f>
        <v>921</v>
      </c>
    </row>
    <row r="51" spans="1:4" s="503" customFormat="1" ht="10.5" customHeight="1">
      <c r="A51" s="564" t="s">
        <v>1046</v>
      </c>
      <c r="B51" s="504">
        <v>314</v>
      </c>
      <c r="C51" s="504">
        <v>607</v>
      </c>
      <c r="D51" s="504">
        <f>SUM(B51:C51)</f>
        <v>921</v>
      </c>
    </row>
    <row r="52" spans="1:4" s="503" customFormat="1" ht="10.5" customHeight="1">
      <c r="A52" s="564" t="s">
        <v>1047</v>
      </c>
      <c r="B52" s="504">
        <v>314</v>
      </c>
      <c r="C52" s="504">
        <v>607</v>
      </c>
      <c r="D52" s="504">
        <f>SUM(B52:C52)</f>
        <v>921</v>
      </c>
    </row>
    <row r="53" spans="1:4" s="503" customFormat="1" ht="10.5" customHeight="1">
      <c r="A53" s="564" t="s">
        <v>1048</v>
      </c>
      <c r="B53" s="504">
        <v>314</v>
      </c>
      <c r="C53" s="504">
        <v>607</v>
      </c>
      <c r="D53" s="504">
        <f>SUM(B53:C53)</f>
        <v>921</v>
      </c>
    </row>
    <row r="54" spans="1:4" s="503" customFormat="1" ht="10.5" customHeight="1">
      <c r="A54" s="564" t="s">
        <v>1049</v>
      </c>
      <c r="B54" s="504">
        <v>314</v>
      </c>
      <c r="C54" s="504">
        <v>607</v>
      </c>
      <c r="D54" s="504">
        <f>SUM(B54:C54)</f>
        <v>921</v>
      </c>
    </row>
    <row r="55" spans="1:4" s="503" customFormat="1" ht="10.5" customHeight="1">
      <c r="A55" s="564" t="s">
        <v>1050</v>
      </c>
      <c r="B55" s="504">
        <v>314</v>
      </c>
      <c r="C55" s="504">
        <v>607</v>
      </c>
      <c r="D55" s="504">
        <f>SUM(B55:C55)</f>
        <v>921</v>
      </c>
    </row>
    <row r="56" spans="1:4" s="503" customFormat="1" ht="10.5" customHeight="1">
      <c r="A56" s="564" t="s">
        <v>1051</v>
      </c>
      <c r="B56" s="504">
        <v>314</v>
      </c>
      <c r="C56" s="504">
        <v>607</v>
      </c>
      <c r="D56" s="504">
        <f>SUM(B56:C56)</f>
        <v>921</v>
      </c>
    </row>
    <row r="57" spans="1:4" s="503" customFormat="1" ht="10.5" customHeight="1">
      <c r="A57" s="564" t="s">
        <v>1052</v>
      </c>
      <c r="B57" s="504">
        <v>314</v>
      </c>
      <c r="C57" s="504">
        <v>607</v>
      </c>
      <c r="D57" s="504">
        <f>SUM(B57:C57)</f>
        <v>921</v>
      </c>
    </row>
    <row r="58" spans="1:4" s="503" customFormat="1" ht="10.5" customHeight="1">
      <c r="A58" s="564" t="s">
        <v>1053</v>
      </c>
      <c r="B58" s="504">
        <v>314</v>
      </c>
      <c r="C58" s="504">
        <v>607</v>
      </c>
      <c r="D58" s="504">
        <f>SUM(B58:C58)</f>
        <v>921</v>
      </c>
    </row>
    <row r="59" spans="1:4" ht="10.5" customHeight="1">
      <c r="A59" s="564" t="s">
        <v>1054</v>
      </c>
      <c r="B59" s="504">
        <v>314</v>
      </c>
      <c r="C59" s="504">
        <v>607</v>
      </c>
      <c r="D59" s="504">
        <f>SUM(B59:C59)</f>
        <v>921</v>
      </c>
    </row>
    <row r="60" spans="1:4" ht="10.5" customHeight="1">
      <c r="A60" s="564" t="s">
        <v>1055</v>
      </c>
      <c r="B60" s="504">
        <v>314</v>
      </c>
      <c r="C60" s="504">
        <v>607</v>
      </c>
      <c r="D60" s="504">
        <f>SUM(B60:C60)</f>
        <v>921</v>
      </c>
    </row>
    <row r="61" spans="1:4" ht="10.5" customHeight="1">
      <c r="A61" s="564" t="s">
        <v>1056</v>
      </c>
      <c r="B61" s="504">
        <v>314</v>
      </c>
      <c r="C61" s="504">
        <v>607</v>
      </c>
      <c r="D61" s="504">
        <f>SUM(B61:C61)</f>
        <v>921</v>
      </c>
    </row>
    <row r="62" spans="1:4" ht="10.5" customHeight="1">
      <c r="A62" s="564" t="s">
        <v>1057</v>
      </c>
      <c r="B62" s="504">
        <v>314</v>
      </c>
      <c r="C62" s="504">
        <v>607</v>
      </c>
      <c r="D62" s="504">
        <f>SUM(B62:C62)</f>
        <v>921</v>
      </c>
    </row>
    <row r="63" spans="1:4" ht="10.5" customHeight="1">
      <c r="A63" s="564" t="s">
        <v>1058</v>
      </c>
      <c r="B63" s="504">
        <v>314</v>
      </c>
      <c r="C63" s="504">
        <v>607</v>
      </c>
      <c r="D63" s="504">
        <f>SUM(B63:C63)</f>
        <v>921</v>
      </c>
    </row>
    <row r="64" spans="1:4" ht="10.5" customHeight="1">
      <c r="A64" s="564" t="s">
        <v>1059</v>
      </c>
      <c r="B64" s="504">
        <v>314</v>
      </c>
      <c r="C64" s="504">
        <v>607</v>
      </c>
      <c r="D64" s="504">
        <f>SUM(B64:C64)</f>
        <v>921</v>
      </c>
    </row>
    <row r="65" spans="1:4" ht="10.5" customHeight="1">
      <c r="A65" s="564" t="s">
        <v>1060</v>
      </c>
      <c r="B65" s="504">
        <v>314</v>
      </c>
      <c r="C65" s="504">
        <v>607</v>
      </c>
      <c r="D65" s="504">
        <f>SUM(B65:C65)</f>
        <v>921</v>
      </c>
    </row>
    <row r="66" spans="1:4" ht="10.5" customHeight="1">
      <c r="A66" s="564" t="s">
        <v>1061</v>
      </c>
      <c r="B66" s="504">
        <v>314</v>
      </c>
      <c r="C66" s="504">
        <v>607</v>
      </c>
      <c r="D66" s="504">
        <f>SUM(B66:C66)</f>
        <v>921</v>
      </c>
    </row>
    <row r="67" spans="1:4" ht="10.5" customHeight="1">
      <c r="A67" s="564" t="s">
        <v>1062</v>
      </c>
      <c r="B67" s="504">
        <v>314</v>
      </c>
      <c r="C67" s="504">
        <v>607</v>
      </c>
      <c r="D67" s="504">
        <f>SUM(B67:C67)</f>
        <v>921</v>
      </c>
    </row>
    <row r="68" spans="1:4" ht="10.5" customHeight="1">
      <c r="A68" s="564" t="s">
        <v>1063</v>
      </c>
      <c r="B68" s="504">
        <v>314</v>
      </c>
      <c r="C68" s="504">
        <v>607</v>
      </c>
      <c r="D68" s="504">
        <f>SUM(B68:C68)</f>
        <v>921</v>
      </c>
    </row>
    <row r="69" spans="1:4" ht="10.5" customHeight="1">
      <c r="A69" s="564" t="s">
        <v>1064</v>
      </c>
      <c r="B69" s="504">
        <v>314</v>
      </c>
      <c r="C69" s="504">
        <v>607</v>
      </c>
      <c r="D69" s="504">
        <f>SUM(B69:C69)</f>
        <v>921</v>
      </c>
    </row>
    <row r="70" spans="1:13" s="503" customFormat="1" ht="10.5" customHeight="1">
      <c r="A70" s="564" t="s">
        <v>1065</v>
      </c>
      <c r="B70" s="504">
        <v>314</v>
      </c>
      <c r="C70" s="504">
        <v>607</v>
      </c>
      <c r="D70" s="504">
        <f>SUM(B70:C70)</f>
        <v>921</v>
      </c>
      <c r="I70" s="561"/>
      <c r="J70" s="505"/>
      <c r="K70" s="505"/>
      <c r="L70" s="505"/>
      <c r="M70" s="505"/>
    </row>
    <row r="71" spans="1:9" s="503" customFormat="1" ht="10.5" customHeight="1">
      <c r="A71" s="564" t="s">
        <v>1066</v>
      </c>
      <c r="B71" s="504">
        <v>314</v>
      </c>
      <c r="C71" s="504">
        <v>607</v>
      </c>
      <c r="D71" s="504">
        <f>SUM(B71:C71)</f>
        <v>921</v>
      </c>
      <c r="I71" s="504"/>
    </row>
    <row r="72" spans="1:9" s="503" customFormat="1" ht="10.5" customHeight="1">
      <c r="A72" s="564" t="s">
        <v>1067</v>
      </c>
      <c r="B72" s="504">
        <v>314</v>
      </c>
      <c r="C72" s="504">
        <v>607</v>
      </c>
      <c r="D72" s="504">
        <f>SUM(B72:C72)</f>
        <v>921</v>
      </c>
      <c r="I72" s="504"/>
    </row>
    <row r="73" spans="1:9" s="503" customFormat="1" ht="10.5" customHeight="1">
      <c r="A73" s="564"/>
      <c r="B73" s="506" t="s">
        <v>404</v>
      </c>
      <c r="C73" s="506" t="s">
        <v>532</v>
      </c>
      <c r="D73" s="506" t="s">
        <v>533</v>
      </c>
      <c r="G73" s="504"/>
      <c r="H73" s="504"/>
      <c r="I73" s="504"/>
    </row>
    <row r="74" spans="1:9" s="503" customFormat="1" ht="10.5" customHeight="1">
      <c r="A74" s="564"/>
      <c r="B74" s="506">
        <f>SUM(B4:B72)</f>
        <v>21666</v>
      </c>
      <c r="C74" s="506">
        <f>SUM(C4:C72)</f>
        <v>41883</v>
      </c>
      <c r="D74" s="506">
        <f>SUM(D4:D72)</f>
        <v>63549</v>
      </c>
      <c r="G74" s="504"/>
      <c r="H74" s="504"/>
      <c r="I74" s="504"/>
    </row>
    <row r="75" spans="1:9" s="503" customFormat="1" ht="10.5" customHeight="1">
      <c r="A75" s="564"/>
      <c r="B75" s="561" t="s">
        <v>526</v>
      </c>
      <c r="C75" s="506"/>
      <c r="D75" s="506"/>
      <c r="E75" s="561" t="s">
        <v>527</v>
      </c>
      <c r="F75" s="561" t="s">
        <v>528</v>
      </c>
      <c r="G75" s="561"/>
      <c r="I75" s="504"/>
    </row>
    <row r="76" spans="1:9" s="503" customFormat="1" ht="10.5" customHeight="1">
      <c r="A76" s="564"/>
      <c r="B76" s="504" t="s">
        <v>404</v>
      </c>
      <c r="C76" s="504" t="s">
        <v>532</v>
      </c>
      <c r="D76" s="504" t="s">
        <v>533</v>
      </c>
      <c r="E76" s="504" t="s">
        <v>531</v>
      </c>
      <c r="F76" s="504"/>
      <c r="G76" s="504"/>
      <c r="H76" s="562">
        <f ca="1">TODAY()</f>
        <v>34767</v>
      </c>
      <c r="I76" s="504"/>
    </row>
    <row r="77" spans="1:9" s="503" customFormat="1" ht="10.5" customHeight="1">
      <c r="A77" s="503" t="s">
        <v>1068</v>
      </c>
      <c r="B77" s="504">
        <v>314</v>
      </c>
      <c r="C77" s="504">
        <v>607</v>
      </c>
      <c r="D77" s="504">
        <f>SUM(B77:C77)</f>
        <v>921</v>
      </c>
      <c r="E77" s="503"/>
      <c r="F77" s="561" t="s">
        <v>530</v>
      </c>
      <c r="G77" s="506"/>
      <c r="H77" s="504"/>
      <c r="I77" s="504"/>
    </row>
    <row r="78" spans="1:9" s="503" customFormat="1" ht="10.5" customHeight="1">
      <c r="A78" s="503" t="s">
        <v>1069</v>
      </c>
      <c r="B78" s="504">
        <v>314</v>
      </c>
      <c r="C78" s="504">
        <v>607</v>
      </c>
      <c r="D78" s="504">
        <f>SUM(B78:C78)</f>
        <v>921</v>
      </c>
      <c r="F78" s="504"/>
      <c r="G78" s="504"/>
      <c r="H78" s="504"/>
      <c r="I78" s="504"/>
    </row>
    <row r="79" spans="1:9" s="503" customFormat="1" ht="10.5" customHeight="1">
      <c r="A79" s="503" t="s">
        <v>1070</v>
      </c>
      <c r="B79" s="504">
        <v>314</v>
      </c>
      <c r="C79" s="504">
        <v>607</v>
      </c>
      <c r="D79" s="504">
        <f>SUM(B79:C79)</f>
        <v>921</v>
      </c>
      <c r="F79" s="508"/>
      <c r="G79" s="504"/>
      <c r="H79" s="504"/>
      <c r="I79" s="504"/>
    </row>
    <row r="80" spans="1:9" s="503" customFormat="1" ht="10.5" customHeight="1">
      <c r="A80" s="503" t="s">
        <v>1071</v>
      </c>
      <c r="B80" s="504">
        <v>314</v>
      </c>
      <c r="C80" s="504">
        <v>607</v>
      </c>
      <c r="D80" s="504">
        <f>SUM(B80:C80)</f>
        <v>921</v>
      </c>
      <c r="F80" s="504"/>
      <c r="G80" s="504"/>
      <c r="H80" s="504"/>
      <c r="I80" s="504"/>
    </row>
    <row r="81" spans="1:9" s="503" customFormat="1" ht="10.5" customHeight="1">
      <c r="A81" s="503" t="s">
        <v>1072</v>
      </c>
      <c r="B81" s="504">
        <v>314</v>
      </c>
      <c r="C81" s="504">
        <v>607</v>
      </c>
      <c r="D81" s="504">
        <f>SUM(B81:C81)</f>
        <v>921</v>
      </c>
      <c r="F81" s="504"/>
      <c r="G81" s="504"/>
      <c r="H81" s="509"/>
      <c r="I81" s="504"/>
    </row>
    <row r="82" spans="1:8" s="503" customFormat="1" ht="10.5" customHeight="1">
      <c r="A82" s="503" t="s">
        <v>1073</v>
      </c>
      <c r="B82" s="504">
        <v>314</v>
      </c>
      <c r="C82" s="504">
        <v>607</v>
      </c>
      <c r="D82" s="504">
        <f>SUM(B82:C82)</f>
        <v>921</v>
      </c>
      <c r="F82" s="504"/>
      <c r="G82" s="504"/>
      <c r="H82" s="504"/>
    </row>
    <row r="83" spans="1:8" s="503" customFormat="1" ht="10.5" customHeight="1">
      <c r="A83" s="503" t="s">
        <v>1074</v>
      </c>
      <c r="B83" s="504">
        <v>314</v>
      </c>
      <c r="C83" s="504">
        <v>607</v>
      </c>
      <c r="D83" s="504">
        <f>SUM(B83:C83)</f>
        <v>921</v>
      </c>
      <c r="F83" s="504"/>
      <c r="G83" s="504"/>
      <c r="H83" s="504"/>
    </row>
    <row r="84" spans="1:10" s="503" customFormat="1" ht="10.5" customHeight="1">
      <c r="A84" s="503" t="s">
        <v>1075</v>
      </c>
      <c r="B84" s="504">
        <v>314</v>
      </c>
      <c r="C84" s="504">
        <v>607</v>
      </c>
      <c r="D84" s="504">
        <f>SUM(B84:C84)</f>
        <v>921</v>
      </c>
      <c r="F84" s="504"/>
      <c r="G84" s="504"/>
      <c r="H84" s="504"/>
      <c r="I84" s="505"/>
      <c r="J84" s="505"/>
    </row>
    <row r="85" spans="1:10" s="503" customFormat="1" ht="10.5" customHeight="1">
      <c r="A85" s="503" t="s">
        <v>1076</v>
      </c>
      <c r="B85" s="504">
        <v>314</v>
      </c>
      <c r="C85" s="504">
        <v>607</v>
      </c>
      <c r="D85" s="504">
        <f>SUM(B85:C85)</f>
        <v>921</v>
      </c>
      <c r="F85" s="505"/>
      <c r="G85" s="505"/>
      <c r="H85" s="505"/>
      <c r="I85" s="505"/>
      <c r="J85" s="505"/>
    </row>
    <row r="86" spans="1:10" s="503" customFormat="1" ht="10.5" customHeight="1">
      <c r="A86" s="503" t="s">
        <v>1077</v>
      </c>
      <c r="B86" s="504">
        <v>314</v>
      </c>
      <c r="C86" s="504">
        <v>607</v>
      </c>
      <c r="D86" s="504">
        <f>SUM(B86:C86)</f>
        <v>921</v>
      </c>
      <c r="F86" s="505"/>
      <c r="G86" s="505"/>
      <c r="H86" s="505"/>
      <c r="I86" s="505"/>
      <c r="J86" s="505"/>
    </row>
    <row r="87" spans="1:10" s="503" customFormat="1" ht="10.5" customHeight="1">
      <c r="A87" s="503" t="s">
        <v>1078</v>
      </c>
      <c r="B87" s="504">
        <v>314</v>
      </c>
      <c r="C87" s="504">
        <v>607</v>
      </c>
      <c r="D87" s="504">
        <f>SUM(B87:C87)</f>
        <v>921</v>
      </c>
      <c r="F87" s="505"/>
      <c r="G87" s="505"/>
      <c r="H87" s="505"/>
      <c r="I87" s="505"/>
      <c r="J87" s="505"/>
    </row>
    <row r="88" spans="1:10" s="503" customFormat="1" ht="10.5" customHeight="1">
      <c r="A88" s="503" t="s">
        <v>1079</v>
      </c>
      <c r="B88" s="504">
        <v>314</v>
      </c>
      <c r="C88" s="504">
        <v>607</v>
      </c>
      <c r="D88" s="504">
        <f>SUM(B88:C88)</f>
        <v>921</v>
      </c>
      <c r="F88" s="505"/>
      <c r="G88" s="505"/>
      <c r="H88" s="505"/>
      <c r="I88" s="505"/>
      <c r="J88" s="505"/>
    </row>
    <row r="89" spans="1:10" s="503" customFormat="1" ht="10.5" customHeight="1">
      <c r="A89" s="503" t="s">
        <v>1080</v>
      </c>
      <c r="B89" s="504">
        <v>314</v>
      </c>
      <c r="C89" s="504">
        <v>607</v>
      </c>
      <c r="D89" s="504">
        <f>SUM(B89:C89)</f>
        <v>921</v>
      </c>
      <c r="F89" s="505"/>
      <c r="G89" s="505"/>
      <c r="H89" s="505"/>
      <c r="I89" s="505"/>
      <c r="J89" s="505"/>
    </row>
    <row r="90" spans="1:10" s="503" customFormat="1" ht="10.5" customHeight="1">
      <c r="A90" s="503" t="s">
        <v>1081</v>
      </c>
      <c r="B90" s="504">
        <v>314</v>
      </c>
      <c r="C90" s="504">
        <v>607</v>
      </c>
      <c r="D90" s="504">
        <f>SUM(B90:C90)</f>
        <v>921</v>
      </c>
      <c r="F90" s="505"/>
      <c r="G90" s="505"/>
      <c r="H90" s="505"/>
      <c r="I90" s="505"/>
      <c r="J90" s="505"/>
    </row>
    <row r="91" spans="1:10" s="503" customFormat="1" ht="10.5" customHeight="1">
      <c r="A91" s="503" t="s">
        <v>1082</v>
      </c>
      <c r="B91" s="504">
        <v>314</v>
      </c>
      <c r="C91" s="504">
        <v>607</v>
      </c>
      <c r="D91" s="504">
        <f>SUM(B91:C91)</f>
        <v>921</v>
      </c>
      <c r="F91" s="505"/>
      <c r="G91" s="505"/>
      <c r="H91" s="505"/>
      <c r="I91" s="505"/>
      <c r="J91" s="505"/>
    </row>
    <row r="92" spans="1:10" s="503" customFormat="1" ht="10.5" customHeight="1">
      <c r="A92" s="503" t="s">
        <v>1083</v>
      </c>
      <c r="B92" s="504">
        <v>314</v>
      </c>
      <c r="C92" s="504">
        <v>607</v>
      </c>
      <c r="D92" s="504">
        <f>SUM(B92:C92)</f>
        <v>921</v>
      </c>
      <c r="E92" s="503"/>
      <c r="F92" s="506" t="s">
        <v>994</v>
      </c>
      <c r="G92" s="506" t="s">
        <v>995</v>
      </c>
      <c r="H92" s="506"/>
      <c r="I92" s="505"/>
      <c r="J92" s="505"/>
    </row>
    <row r="93" spans="1:12" s="503" customFormat="1" ht="10.5" customHeight="1">
      <c r="A93" s="503" t="s">
        <v>1084</v>
      </c>
      <c r="B93" s="504">
        <v>314</v>
      </c>
      <c r="C93" s="504">
        <v>607</v>
      </c>
      <c r="D93" s="504">
        <f>SUM(B93:C93)</f>
        <v>921</v>
      </c>
      <c r="E93" s="503"/>
      <c r="F93" s="506" t="s">
        <v>997</v>
      </c>
      <c r="H93" s="566"/>
      <c r="I93" s="505"/>
      <c r="J93" s="505"/>
      <c r="K93" s="505"/>
      <c r="L93" s="505"/>
    </row>
    <row r="94" spans="1:12" s="503" customFormat="1" ht="10.5" customHeight="1">
      <c r="A94" s="503" t="s">
        <v>1085</v>
      </c>
      <c r="B94" s="504">
        <v>314</v>
      </c>
      <c r="C94" s="504">
        <v>607</v>
      </c>
      <c r="D94" s="504">
        <f>SUM(B94:C94)</f>
        <v>921</v>
      </c>
      <c r="E94" s="503"/>
      <c r="F94" s="506" t="s">
        <v>998</v>
      </c>
      <c r="I94" s="505"/>
      <c r="J94" s="505"/>
      <c r="K94" s="505"/>
      <c r="L94" s="505"/>
    </row>
    <row r="95" spans="1:12" s="503" customFormat="1" ht="10.5" customHeight="1">
      <c r="A95" s="503" t="s">
        <v>1086</v>
      </c>
      <c r="B95" s="504">
        <v>314</v>
      </c>
      <c r="C95" s="504">
        <v>607</v>
      </c>
      <c r="D95" s="504">
        <f>SUM(B95:C95)</f>
        <v>921</v>
      </c>
      <c r="E95" s="503"/>
      <c r="F95" s="506">
        <f>48978/107</f>
        <v>457.7383177570093</v>
      </c>
      <c r="I95" s="505"/>
      <c r="J95" s="505"/>
      <c r="K95" s="505"/>
      <c r="L95" s="505"/>
    </row>
    <row r="96" spans="2:12" s="503" customFormat="1" ht="10.5" customHeight="1">
      <c r="B96" s="504"/>
      <c r="C96" s="504"/>
      <c r="D96" s="504"/>
      <c r="I96" s="505"/>
      <c r="J96" s="505"/>
      <c r="K96" s="505"/>
      <c r="L96" s="505"/>
    </row>
    <row r="97" spans="2:4" s="503" customFormat="1" ht="10.5" customHeight="1">
      <c r="B97" s="504"/>
      <c r="C97" s="504"/>
      <c r="D97" s="504"/>
    </row>
    <row r="98" spans="2:4" s="503" customFormat="1" ht="10.5" customHeight="1">
      <c r="B98" s="504"/>
      <c r="C98" s="504"/>
      <c r="D98" s="504"/>
    </row>
    <row r="99" spans="2:8" s="503" customFormat="1" ht="10.5" customHeight="1">
      <c r="B99" s="504"/>
      <c r="C99" s="504"/>
      <c r="D99" s="504"/>
      <c r="F99" s="505"/>
      <c r="G99" s="505"/>
      <c r="H99" s="505"/>
    </row>
    <row r="100" spans="1:6" s="503" customFormat="1" ht="10.5" customHeight="1">
      <c r="A100" s="560" t="s">
        <v>1139</v>
      </c>
      <c r="B100" s="567">
        <v>314</v>
      </c>
      <c r="C100" s="567">
        <v>607</v>
      </c>
      <c r="D100" s="567">
        <f>SUM(B100:C100)</f>
        <v>921</v>
      </c>
      <c r="E100" s="568" t="s">
        <v>1133</v>
      </c>
      <c r="F100" s="506"/>
    </row>
    <row r="101" spans="1:8" s="503" customFormat="1" ht="10.5" customHeight="1">
      <c r="A101" s="506" t="s">
        <v>140</v>
      </c>
      <c r="B101" s="506">
        <f>SUM(B77:B100)</f>
        <v>6280</v>
      </c>
      <c r="C101" s="506">
        <f>SUM(C77:C100)</f>
        <v>12140</v>
      </c>
      <c r="D101" s="506">
        <f>SUM(D77:D100)</f>
        <v>18420</v>
      </c>
      <c r="F101" s="505"/>
      <c r="G101" s="505"/>
      <c r="H101" s="505"/>
    </row>
    <row r="102" spans="1:4" s="503" customFormat="1" ht="10.5" customHeight="1">
      <c r="A102" s="503"/>
      <c r="B102" s="506" t="s">
        <v>404</v>
      </c>
      <c r="C102" s="506" t="s">
        <v>532</v>
      </c>
      <c r="D102" s="506" t="s">
        <v>533</v>
      </c>
    </row>
    <row r="103" spans="1:4" s="503" customFormat="1" ht="10.5" customHeight="1">
      <c r="A103" s="503"/>
      <c r="B103" s="506">
        <f>B74+B101</f>
        <v>27946</v>
      </c>
      <c r="C103" s="506">
        <f>C74+C101</f>
        <v>54023</v>
      </c>
      <c r="D103" s="506">
        <f>D74+D101</f>
        <v>81969</v>
      </c>
    </row>
    <row r="104" spans="1:4" s="503" customFormat="1" ht="10.5" customHeight="1">
      <c r="A104" s="503"/>
      <c r="B104" s="504" t="s">
        <v>991</v>
      </c>
      <c r="C104" s="504" t="s">
        <v>980</v>
      </c>
      <c r="D104" s="504" t="s">
        <v>981</v>
      </c>
    </row>
    <row r="105" spans="1:4" s="503" customFormat="1" ht="10.5" customHeight="1">
      <c r="A105" s="503"/>
      <c r="B105" s="504">
        <v>35618</v>
      </c>
      <c r="C105" s="504"/>
      <c r="D105" s="504"/>
    </row>
    <row r="106" spans="1:4" s="503" customFormat="1" ht="10.5" customHeight="1">
      <c r="A106" s="503"/>
      <c r="B106" s="561" t="s">
        <v>996</v>
      </c>
      <c r="C106" s="504"/>
      <c r="D106" s="504"/>
    </row>
    <row r="107" spans="1:4" s="503" customFormat="1" ht="10.5" customHeight="1">
      <c r="A107" s="503"/>
      <c r="B107" s="504">
        <f>333*14</f>
        <v>4662</v>
      </c>
      <c r="C107" s="504">
        <f>700*14</f>
        <v>9800</v>
      </c>
      <c r="D107" s="504"/>
    </row>
    <row r="108" spans="1:5" s="503" customFormat="1" ht="10.5" customHeight="1">
      <c r="A108" s="503"/>
      <c r="B108" s="503">
        <v>33633</v>
      </c>
      <c r="C108" s="503">
        <v>48937</v>
      </c>
      <c r="D108" s="503">
        <f>SUM(B108:C108)</f>
        <v>82570</v>
      </c>
      <c r="E108" s="503">
        <v>82336</v>
      </c>
    </row>
    <row r="109" spans="1:5" ht="10.5" customHeight="1">
      <c r="A109" s="566"/>
      <c r="B109" s="503">
        <v>33633</v>
      </c>
      <c r="C109" s="503">
        <v>64966</v>
      </c>
      <c r="D109" s="503">
        <f>SUM(B109:C109)</f>
        <v>98599</v>
      </c>
      <c r="E109" s="503"/>
    </row>
    <row r="110" spans="1:4" s="503" customFormat="1" ht="10.5" customHeight="1">
      <c r="A110" s="503"/>
      <c r="B110" s="503">
        <f>B109/107</f>
        <v>314.32710280373834</v>
      </c>
      <c r="C110" s="503">
        <f>C109/107</f>
        <v>607.1588785046729</v>
      </c>
      <c r="D110" s="503">
        <f>D109/107</f>
        <v>921.4859813084112</v>
      </c>
    </row>
    <row r="111" spans="2:4" s="503" customFormat="1" ht="10.5" customHeight="1">
      <c r="B111" s="504"/>
      <c r="C111" s="504"/>
      <c r="D111" s="504"/>
    </row>
    <row r="112" spans="2:4" s="503" customFormat="1" ht="10.5" customHeight="1">
      <c r="B112" s="504"/>
      <c r="C112" s="504"/>
      <c r="D112" s="504"/>
    </row>
    <row r="113" spans="2:4" s="503" customFormat="1" ht="10.5" customHeight="1">
      <c r="B113" s="504"/>
      <c r="C113" s="504"/>
      <c r="D113" s="504"/>
    </row>
    <row r="114" spans="2:4" s="503" customFormat="1" ht="10.5" customHeight="1">
      <c r="B114" s="504"/>
      <c r="C114" s="504"/>
      <c r="D114" s="504"/>
    </row>
    <row r="115" spans="2:4" s="503" customFormat="1" ht="10.5" customHeight="1">
      <c r="B115" s="504"/>
      <c r="C115" s="504"/>
      <c r="D115" s="504"/>
    </row>
    <row r="116" spans="2:4" s="503" customFormat="1" ht="10.5" customHeight="1">
      <c r="B116" s="504"/>
      <c r="C116" s="504"/>
      <c r="D116" s="504"/>
    </row>
    <row r="117" spans="2:4" s="503" customFormat="1" ht="10.5" customHeight="1">
      <c r="B117" s="504"/>
      <c r="C117" s="504"/>
      <c r="D117" s="504"/>
    </row>
    <row r="118" spans="2:4" s="503" customFormat="1" ht="10.5" customHeight="1">
      <c r="B118" s="504"/>
      <c r="C118" s="504"/>
      <c r="D118" s="504"/>
    </row>
    <row r="119" spans="2:4" s="503" customFormat="1" ht="10.5" customHeight="1">
      <c r="B119" s="504"/>
      <c r="C119" s="504"/>
      <c r="D119" s="504"/>
    </row>
    <row r="120" spans="2:4" s="503" customFormat="1" ht="10.5" customHeight="1">
      <c r="B120" s="504"/>
      <c r="C120" s="504"/>
      <c r="D120" s="504"/>
    </row>
    <row r="121" spans="2:4" s="503" customFormat="1" ht="10.5" customHeight="1">
      <c r="B121" s="504"/>
      <c r="C121" s="504"/>
      <c r="D121" s="504"/>
    </row>
    <row r="122" spans="2:4" s="503" customFormat="1" ht="10.5" customHeight="1">
      <c r="B122" s="504"/>
      <c r="C122" s="504"/>
      <c r="D122" s="504"/>
    </row>
    <row r="123" spans="2:4" s="503" customFormat="1" ht="10.5" customHeight="1">
      <c r="B123" s="504"/>
      <c r="C123" s="504"/>
      <c r="D123" s="504"/>
    </row>
    <row r="124" spans="1:4" s="503" customFormat="1" ht="10.5" customHeight="1">
      <c r="A124" s="506"/>
      <c r="B124" s="506"/>
      <c r="C124" s="506"/>
      <c r="D124" s="506"/>
    </row>
    <row r="125" spans="2:4" s="503" customFormat="1" ht="10.5" customHeight="1">
      <c r="B125" s="506"/>
      <c r="C125" s="506"/>
      <c r="D125" s="506"/>
    </row>
    <row r="126" s="503" customFormat="1" ht="10.5" customHeight="1">
      <c r="A126" s="506"/>
    </row>
    <row r="127" spans="1:4" s="503" customFormat="1" ht="10.5" customHeight="1">
      <c r="A127" s="506"/>
      <c r="B127" s="506"/>
      <c r="C127" s="506"/>
      <c r="D127" s="506"/>
    </row>
    <row r="128" s="503" customFormat="1" ht="10.5" customHeight="1"/>
    <row r="129" s="503" customFormat="1" ht="10.5" customHeight="1">
      <c r="A129" s="503"/>
    </row>
    <row r="130" s="503" customFormat="1" ht="10.5" customHeight="1">
      <c r="A130" s="503"/>
    </row>
    <row r="131" s="503" customFormat="1" ht="10.5" customHeight="1">
      <c r="A131" s="503"/>
    </row>
    <row r="132" s="503" customFormat="1" ht="10.5" customHeight="1">
      <c r="A132" s="503"/>
    </row>
    <row r="140" ht="10.5" customHeight="1">
      <c r="A140" s="503"/>
    </row>
    <row r="141" ht="10.5" customHeight="1">
      <c r="A141" s="503"/>
    </row>
    <row r="147" spans="1:7" ht="10.5" customHeight="1">
      <c r="A147" s="505"/>
      <c r="E147" s="505"/>
      <c r="F147" s="505"/>
      <c r="G147" s="505"/>
    </row>
    <row r="148" ht="10.5" customHeight="1">
      <c r="H148" s="506"/>
    </row>
    <row r="149" spans="1:8" s="569" customFormat="1" ht="10.5" customHeight="1">
      <c r="A149" s="504"/>
      <c r="B149" s="504"/>
      <c r="C149" s="505"/>
      <c r="D149" s="505"/>
      <c r="E149" s="504"/>
      <c r="F149" s="504"/>
      <c r="G149" s="504"/>
      <c r="H149" s="507"/>
    </row>
    <row r="150" spans="1:8" s="569" customFormat="1" ht="10.5" customHeight="1">
      <c r="A150" s="505"/>
      <c r="B150" s="504"/>
      <c r="C150" s="504"/>
      <c r="D150" s="504"/>
      <c r="E150" s="504"/>
      <c r="F150" s="504"/>
      <c r="G150" s="504"/>
      <c r="H150" s="504"/>
    </row>
    <row r="151" spans="5:8" s="569" customFormat="1" ht="10.5" customHeight="1">
      <c r="E151" s="505"/>
      <c r="F151" s="504"/>
      <c r="G151" s="505"/>
      <c r="H151" s="504"/>
    </row>
    <row r="152" spans="5:8" s="569" customFormat="1" ht="10.5" customHeight="1">
      <c r="E152" s="505"/>
      <c r="F152" s="504"/>
      <c r="G152" s="504"/>
      <c r="H152" s="504"/>
    </row>
    <row r="153" spans="5:8" s="569" customFormat="1" ht="10.5" customHeight="1">
      <c r="E153" s="505"/>
      <c r="F153" s="508"/>
      <c r="G153" s="504"/>
      <c r="H153" s="504"/>
    </row>
    <row r="154" spans="5:8" s="569" customFormat="1" ht="10.5" customHeight="1">
      <c r="E154" s="505"/>
      <c r="F154" s="504"/>
      <c r="G154" s="504"/>
      <c r="H154" s="504"/>
    </row>
    <row r="155" spans="5:8" s="569" customFormat="1" ht="10.5" customHeight="1">
      <c r="E155" s="505"/>
      <c r="F155" s="504"/>
      <c r="G155" s="504"/>
      <c r="H155" s="509"/>
    </row>
    <row r="156" spans="5:8" s="569" customFormat="1" ht="10.5" customHeight="1">
      <c r="E156" s="505"/>
      <c r="F156" s="504"/>
      <c r="G156" s="504"/>
      <c r="H156" s="504"/>
    </row>
    <row r="157" spans="5:8" s="569" customFormat="1" ht="10.5" customHeight="1">
      <c r="E157" s="505"/>
      <c r="F157" s="504"/>
      <c r="G157" s="504"/>
      <c r="H157" s="504"/>
    </row>
    <row r="158" spans="5:8" s="569" customFormat="1" ht="10.5" customHeight="1">
      <c r="E158" s="505"/>
      <c r="F158" s="504"/>
      <c r="G158" s="504"/>
      <c r="H158" s="504"/>
    </row>
    <row r="159" spans="5:8" s="569" customFormat="1" ht="10.5" customHeight="1">
      <c r="E159" s="505"/>
      <c r="F159" s="505"/>
      <c r="G159" s="505"/>
      <c r="H159" s="505"/>
    </row>
    <row r="160" spans="5:8" s="569" customFormat="1" ht="10.5" customHeight="1">
      <c r="E160" s="505"/>
      <c r="F160" s="505"/>
      <c r="G160" s="505"/>
      <c r="H160" s="505"/>
    </row>
    <row r="161" spans="5:8" s="569" customFormat="1" ht="10.5" customHeight="1">
      <c r="E161" s="505"/>
      <c r="F161" s="505"/>
      <c r="G161" s="505"/>
      <c r="H161" s="505"/>
    </row>
    <row r="162" spans="5:8" s="569" customFormat="1" ht="10.5" customHeight="1">
      <c r="E162" s="505"/>
      <c r="F162" s="505"/>
      <c r="G162" s="505"/>
      <c r="H162" s="505"/>
    </row>
    <row r="163" spans="5:8" s="569" customFormat="1" ht="10.5" customHeight="1">
      <c r="E163" s="505"/>
      <c r="F163" s="505"/>
      <c r="G163" s="505"/>
      <c r="H163" s="505"/>
    </row>
    <row r="164" spans="5:8" s="569" customFormat="1" ht="10.5" customHeight="1">
      <c r="E164" s="505"/>
      <c r="F164" s="505"/>
      <c r="G164" s="505"/>
      <c r="H164" s="505"/>
    </row>
    <row r="165" spans="5:8" s="569" customFormat="1" ht="10.5" customHeight="1">
      <c r="E165" s="505"/>
      <c r="F165" s="505"/>
      <c r="G165" s="505"/>
      <c r="H165" s="505"/>
    </row>
    <row r="166" spans="5:8" s="569" customFormat="1" ht="10.5" customHeight="1">
      <c r="E166" s="505"/>
      <c r="F166" s="505"/>
      <c r="G166" s="505"/>
      <c r="H166" s="505"/>
    </row>
    <row r="167" spans="5:8" s="569" customFormat="1" ht="10.5" customHeight="1">
      <c r="E167" s="505"/>
      <c r="F167" s="505"/>
      <c r="G167" s="505"/>
      <c r="H167" s="505"/>
    </row>
    <row r="168" spans="5:8" s="569" customFormat="1" ht="10.5" customHeight="1">
      <c r="E168" s="505"/>
      <c r="F168" s="505"/>
      <c r="G168" s="505"/>
      <c r="H168" s="505"/>
    </row>
    <row r="169" spans="5:8" s="569" customFormat="1" ht="10.5" customHeight="1">
      <c r="E169" s="505"/>
      <c r="F169" s="505"/>
      <c r="G169" s="505"/>
      <c r="H169" s="505"/>
    </row>
    <row r="170" spans="5:8" s="569" customFormat="1" ht="10.5" customHeight="1">
      <c r="E170" s="505"/>
      <c r="F170" s="505"/>
      <c r="G170" s="505"/>
      <c r="H170" s="505"/>
    </row>
    <row r="171" spans="5:8" s="569" customFormat="1" ht="10.5" customHeight="1">
      <c r="E171" s="505"/>
      <c r="F171" s="505"/>
      <c r="G171" s="505"/>
      <c r="H171" s="505"/>
    </row>
    <row r="172" spans="5:8" s="569" customFormat="1" ht="10.5" customHeight="1">
      <c r="E172" s="505"/>
      <c r="F172" s="505"/>
      <c r="G172" s="505"/>
      <c r="H172" s="505"/>
    </row>
    <row r="173" spans="1:8" s="569" customFormat="1" ht="10.5" customHeight="1">
      <c r="A173" s="505"/>
      <c r="B173" s="504"/>
      <c r="C173" s="504"/>
      <c r="D173" s="504"/>
      <c r="E173" s="505"/>
      <c r="F173" s="505"/>
      <c r="G173" s="505"/>
      <c r="H173" s="505"/>
    </row>
    <row r="174" spans="1:8" s="569" customFormat="1" ht="10.5" customHeight="1">
      <c r="A174" s="505"/>
      <c r="B174" s="504"/>
      <c r="C174" s="504"/>
      <c r="D174" s="504"/>
      <c r="E174" s="505"/>
      <c r="F174" s="505"/>
      <c r="G174" s="505"/>
      <c r="H174" s="505"/>
    </row>
    <row r="175" spans="1:6" s="569" customFormat="1" ht="10.5" customHeight="1">
      <c r="A175" s="505"/>
      <c r="B175" s="504"/>
      <c r="C175" s="504"/>
      <c r="D175" s="504"/>
      <c r="E175" s="505"/>
      <c r="F175" s="505"/>
    </row>
    <row r="176" spans="1:8" s="569" customFormat="1" ht="10.5" customHeight="1">
      <c r="A176" s="505"/>
      <c r="B176" s="504"/>
      <c r="C176" s="504"/>
      <c r="D176" s="504"/>
      <c r="G176" s="505"/>
      <c r="H176" s="505"/>
    </row>
    <row r="177" spans="1:8" s="569" customFormat="1" ht="10.5" customHeight="1">
      <c r="A177" s="505"/>
      <c r="B177" s="504"/>
      <c r="C177" s="504"/>
      <c r="D177" s="504"/>
      <c r="E177" s="505"/>
      <c r="F177" s="505"/>
      <c r="G177" s="505"/>
      <c r="H177" s="505"/>
    </row>
    <row r="178" spans="1:8" s="569" customFormat="1" ht="10.5" customHeight="1">
      <c r="A178" s="505"/>
      <c r="B178" s="504"/>
      <c r="C178" s="504"/>
      <c r="D178" s="504"/>
      <c r="E178" s="505"/>
      <c r="F178" s="505"/>
      <c r="G178" s="505"/>
      <c r="H178" s="505"/>
    </row>
    <row r="179" spans="1:8" s="569" customFormat="1" ht="10.5" customHeight="1">
      <c r="A179" s="505"/>
      <c r="B179" s="504"/>
      <c r="C179" s="504"/>
      <c r="D179" s="504"/>
      <c r="E179" s="505"/>
      <c r="F179" s="505"/>
      <c r="G179" s="505"/>
      <c r="H179" s="505"/>
    </row>
    <row r="180" spans="1:8" s="569" customFormat="1" ht="10.5" customHeight="1">
      <c r="A180" s="505"/>
      <c r="B180" s="504"/>
      <c r="C180" s="504"/>
      <c r="D180" s="504"/>
      <c r="E180" s="505"/>
      <c r="F180" s="505"/>
      <c r="G180" s="505"/>
      <c r="H180" s="505"/>
    </row>
    <row r="181" spans="1:8" s="569" customFormat="1" ht="10.5" customHeight="1">
      <c r="A181" s="505"/>
      <c r="B181" s="504"/>
      <c r="C181" s="504"/>
      <c r="D181" s="504"/>
      <c r="E181" s="505"/>
      <c r="F181" s="505"/>
      <c r="G181" s="505"/>
      <c r="H181" s="505"/>
    </row>
    <row r="182" spans="1:8" s="569" customFormat="1" ht="10.5" customHeight="1">
      <c r="A182" s="505"/>
      <c r="B182" s="504"/>
      <c r="C182" s="504"/>
      <c r="D182" s="504"/>
      <c r="E182" s="505"/>
      <c r="F182" s="505"/>
      <c r="G182" s="505"/>
      <c r="H182" s="505"/>
    </row>
    <row r="183" spans="1:8" s="569" customFormat="1" ht="10.5" customHeight="1">
      <c r="A183" s="505"/>
      <c r="B183" s="504"/>
      <c r="C183" s="504"/>
      <c r="D183" s="504"/>
      <c r="E183" s="505"/>
      <c r="F183" s="505"/>
      <c r="G183" s="505"/>
      <c r="H183" s="505"/>
    </row>
    <row r="184" spans="2:8" s="569" customFormat="1" ht="10.5" customHeight="1">
      <c r="B184" s="504"/>
      <c r="C184" s="504"/>
      <c r="D184" s="504"/>
      <c r="E184" s="505"/>
      <c r="F184" s="505"/>
      <c r="G184" s="505"/>
      <c r="H184" s="505"/>
    </row>
    <row r="185" spans="2:8" s="569" customFormat="1" ht="10.5" customHeight="1">
      <c r="B185" s="504"/>
      <c r="C185" s="504"/>
      <c r="D185" s="504"/>
      <c r="E185" s="505"/>
      <c r="F185" s="505"/>
      <c r="G185" s="505"/>
      <c r="H185" s="505"/>
    </row>
    <row r="186" spans="2:8" s="569" customFormat="1" ht="10.5" customHeight="1">
      <c r="B186" s="504"/>
      <c r="C186" s="504"/>
      <c r="D186" s="504"/>
      <c r="E186" s="505"/>
      <c r="F186" s="505"/>
      <c r="G186" s="505"/>
      <c r="H186" s="505"/>
    </row>
    <row r="187" spans="2:8" s="569" customFormat="1" ht="10.5" customHeight="1">
      <c r="B187" s="504"/>
      <c r="C187" s="504"/>
      <c r="D187" s="504"/>
      <c r="E187" s="505"/>
      <c r="F187" s="505"/>
      <c r="G187" s="505"/>
      <c r="H187" s="505"/>
    </row>
    <row r="188" spans="2:8" s="569" customFormat="1" ht="10.5" customHeight="1">
      <c r="B188" s="504"/>
      <c r="C188" s="504"/>
      <c r="D188" s="504"/>
      <c r="E188" s="505"/>
      <c r="F188" s="505"/>
      <c r="G188" s="505"/>
      <c r="H188" s="505"/>
    </row>
    <row r="189" spans="2:8" s="569" customFormat="1" ht="10.5" customHeight="1">
      <c r="B189" s="504"/>
      <c r="C189" s="504"/>
      <c r="D189" s="504"/>
      <c r="E189" s="505"/>
      <c r="F189" s="505"/>
      <c r="G189" s="505"/>
      <c r="H189" s="505"/>
    </row>
    <row r="190" spans="2:8" s="569" customFormat="1" ht="10.5" customHeight="1">
      <c r="B190" s="504"/>
      <c r="C190" s="504"/>
      <c r="D190" s="504"/>
      <c r="E190" s="505"/>
      <c r="F190" s="505"/>
      <c r="G190" s="505"/>
      <c r="H190" s="505"/>
    </row>
    <row r="191" spans="2:8" s="569" customFormat="1" ht="10.5" customHeight="1">
      <c r="B191" s="504"/>
      <c r="C191" s="504"/>
      <c r="D191" s="504"/>
      <c r="E191" s="505"/>
      <c r="F191" s="505"/>
      <c r="G191" s="505"/>
      <c r="H191" s="505"/>
    </row>
    <row r="192" spans="2:8" s="569" customFormat="1" ht="10.5" customHeight="1">
      <c r="B192" s="504"/>
      <c r="C192" s="504"/>
      <c r="D192" s="504"/>
      <c r="E192" s="505"/>
      <c r="F192" s="505"/>
      <c r="G192" s="505"/>
      <c r="H192" s="505"/>
    </row>
    <row r="193" spans="2:8" s="569" customFormat="1" ht="10.5" customHeight="1">
      <c r="B193" s="504"/>
      <c r="C193" s="504"/>
      <c r="D193" s="504"/>
      <c r="E193" s="505"/>
      <c r="F193" s="505"/>
      <c r="G193" s="505"/>
      <c r="H193" s="505"/>
    </row>
    <row r="194" spans="2:8" s="569" customFormat="1" ht="10.5" customHeight="1">
      <c r="B194" s="504"/>
      <c r="C194" s="504"/>
      <c r="D194" s="504"/>
      <c r="E194" s="505"/>
      <c r="F194" s="505"/>
      <c r="G194" s="505"/>
      <c r="H194" s="505"/>
    </row>
    <row r="195" spans="2:8" s="569" customFormat="1" ht="10.5" customHeight="1">
      <c r="B195" s="504"/>
      <c r="C195" s="504"/>
      <c r="D195" s="504"/>
      <c r="E195" s="505"/>
      <c r="F195" s="505"/>
      <c r="G195" s="505"/>
      <c r="H195" s="505"/>
    </row>
    <row r="196" spans="2:8" s="569" customFormat="1" ht="10.5" customHeight="1">
      <c r="B196" s="504"/>
      <c r="C196" s="504"/>
      <c r="D196" s="504"/>
      <c r="E196" s="505"/>
      <c r="F196" s="505"/>
      <c r="G196" s="505"/>
      <c r="H196" s="505"/>
    </row>
    <row r="197" spans="2:8" s="569" customFormat="1" ht="10.5" customHeight="1">
      <c r="B197" s="504"/>
      <c r="C197" s="504"/>
      <c r="D197" s="504"/>
      <c r="E197" s="505"/>
      <c r="F197" s="505"/>
      <c r="G197" s="505"/>
      <c r="H197" s="505"/>
    </row>
    <row r="198" spans="2:8" s="569" customFormat="1" ht="10.5" customHeight="1">
      <c r="B198" s="504"/>
      <c r="C198" s="504"/>
      <c r="D198" s="504"/>
      <c r="E198" s="505"/>
      <c r="F198" s="505"/>
      <c r="G198" s="505"/>
      <c r="H198" s="505"/>
    </row>
    <row r="199" spans="1:8" s="569" customFormat="1" ht="10.5" customHeight="1">
      <c r="A199" s="505"/>
      <c r="E199" s="505"/>
      <c r="F199" s="505"/>
      <c r="G199" s="505"/>
      <c r="H199" s="505"/>
    </row>
    <row r="200" spans="1:4" s="569" customFormat="1" ht="10.5" customHeight="1">
      <c r="A200" s="505"/>
      <c r="B200" s="505"/>
      <c r="C200" s="505"/>
      <c r="D200" s="505"/>
    </row>
    <row r="201" spans="1:4" s="569" customFormat="1" ht="10.5" customHeight="1">
      <c r="A201" s="505"/>
      <c r="B201" s="504"/>
      <c r="C201" s="504"/>
      <c r="D201" s="504"/>
    </row>
    <row r="202" s="569" customFormat="1" ht="10.5" customHeight="1"/>
    <row r="203" s="569" customFormat="1" ht="10.5" customHeight="1"/>
    <row r="204" s="569" customFormat="1" ht="10.5" customHeight="1"/>
    <row r="205" s="569" customFormat="1" ht="10.5" customHeight="1"/>
    <row r="206" s="569" customFormat="1" ht="10.5" customHeight="1"/>
    <row r="207" s="569" customFormat="1" ht="10.5" customHeight="1"/>
    <row r="208" s="569" customFormat="1" ht="10.5" customHeight="1"/>
    <row r="209" s="569" customFormat="1" ht="10.5" customHeight="1"/>
    <row r="210" s="569" customFormat="1" ht="10.5" customHeight="1"/>
    <row r="211" s="569" customFormat="1" ht="10.5" customHeight="1"/>
    <row r="212" s="569" customFormat="1" ht="10.5" customHeight="1"/>
    <row r="213" s="569" customFormat="1" ht="10.5" customHeight="1"/>
    <row r="214" s="569" customFormat="1" ht="10.5" customHeight="1"/>
    <row r="215" s="569" customFormat="1" ht="10.5" customHeight="1"/>
    <row r="216" s="569" customFormat="1" ht="10.5" customHeight="1"/>
    <row r="217" s="569" customFormat="1" ht="10.5" customHeight="1"/>
    <row r="218" s="569" customFormat="1" ht="10.5" customHeight="1"/>
    <row r="219" s="569" customFormat="1" ht="10.5" customHeight="1"/>
    <row r="220" s="569" customFormat="1" ht="10.5" customHeight="1"/>
    <row r="221" s="569" customFormat="1" ht="10.5" customHeight="1"/>
    <row r="222" s="569" customFormat="1" ht="10.5" customHeight="1"/>
    <row r="223" s="569" customFormat="1" ht="10.5" customHeight="1"/>
    <row r="224" s="569" customFormat="1" ht="10.5" customHeight="1"/>
    <row r="225" s="569" customFormat="1" ht="10.5" customHeight="1"/>
    <row r="226" s="569" customFormat="1" ht="10.5" customHeight="1"/>
    <row r="227" s="569" customFormat="1" ht="10.5" customHeight="1"/>
    <row r="228" s="569" customFormat="1" ht="10.5" customHeight="1"/>
    <row r="229" s="569" customFormat="1" ht="10.5" customHeight="1"/>
    <row r="230" s="569" customFormat="1" ht="10.5" customHeight="1"/>
    <row r="231" s="569" customFormat="1" ht="10.5" customHeight="1"/>
    <row r="232" s="569" customFormat="1" ht="10.5" customHeight="1"/>
    <row r="233" s="569" customFormat="1" ht="10.5" customHeight="1"/>
    <row r="234" s="569" customFormat="1" ht="10.5" customHeight="1"/>
    <row r="235" s="569" customFormat="1" ht="10.5" customHeight="1"/>
    <row r="236" s="569" customFormat="1" ht="10.5" customHeight="1"/>
    <row r="237" s="569" customFormat="1" ht="10.5" customHeight="1"/>
    <row r="238" s="569" customFormat="1" ht="10.5" customHeight="1"/>
    <row r="239" s="569" customFormat="1" ht="10.5" customHeight="1"/>
    <row r="240" s="569" customFormat="1" ht="10.5" customHeight="1"/>
    <row r="241" s="569" customFormat="1" ht="10.5" customHeight="1"/>
    <row r="242" s="569" customFormat="1" ht="10.5" customHeight="1"/>
    <row r="243" s="569" customFormat="1" ht="10.5" customHeight="1"/>
    <row r="244" s="569" customFormat="1" ht="10.5" customHeight="1"/>
    <row r="245" s="569" customFormat="1" ht="10.5" customHeight="1"/>
    <row r="246" s="569" customFormat="1" ht="10.5" customHeight="1"/>
    <row r="247" s="569" customFormat="1" ht="10.5" customHeight="1"/>
    <row r="248" s="569" customFormat="1" ht="10.5" customHeight="1"/>
    <row r="249" s="569" customFormat="1" ht="10.5" customHeight="1"/>
    <row r="250" s="569" customFormat="1" ht="10.5" customHeight="1"/>
    <row r="251" s="569" customFormat="1" ht="10.5" customHeight="1"/>
    <row r="252" s="569" customFormat="1" ht="10.5" customHeight="1"/>
    <row r="253" s="569" customFormat="1" ht="10.5" customHeight="1"/>
    <row r="254" s="569" customFormat="1" ht="10.5" customHeight="1"/>
    <row r="255" s="569" customFormat="1" ht="10.5" customHeight="1"/>
    <row r="256" s="569" customFormat="1" ht="10.5" customHeight="1"/>
    <row r="257" s="569" customFormat="1" ht="10.5" customHeight="1"/>
    <row r="258" s="569" customFormat="1" ht="10.5" customHeight="1"/>
    <row r="259" s="569" customFormat="1" ht="10.5" customHeight="1"/>
    <row r="260" s="569" customFormat="1" ht="10.5" customHeight="1"/>
    <row r="261" s="569" customFormat="1" ht="10.5" customHeight="1"/>
    <row r="262" s="569" customFormat="1" ht="10.5" customHeight="1"/>
    <row r="263" s="569" customFormat="1" ht="10.5" customHeight="1"/>
    <row r="264" s="569" customFormat="1" ht="10.5" customHeight="1"/>
    <row r="265" s="569" customFormat="1" ht="10.5" customHeight="1"/>
    <row r="266" s="569" customFormat="1" ht="10.5" customHeight="1"/>
    <row r="267" s="569" customFormat="1" ht="10.5" customHeight="1"/>
    <row r="268" s="569" customFormat="1" ht="10.5" customHeight="1"/>
    <row r="269" s="569" customFormat="1" ht="10.5" customHeight="1"/>
    <row r="270" s="569" customFormat="1" ht="10.5" customHeight="1"/>
    <row r="271" s="569" customFormat="1" ht="10.5" customHeight="1"/>
    <row r="272" s="569" customFormat="1" ht="10.5" customHeight="1"/>
    <row r="273" s="569" customFormat="1" ht="10.5" customHeight="1"/>
    <row r="274" s="569" customFormat="1" ht="10.5" customHeight="1"/>
    <row r="275" s="569" customFormat="1" ht="10.5" customHeight="1"/>
    <row r="276" s="569" customFormat="1" ht="10.5" customHeight="1"/>
    <row r="277" s="569" customFormat="1" ht="10.5" customHeight="1"/>
    <row r="278" s="569" customFormat="1" ht="10.5" customHeight="1"/>
    <row r="279" s="569" customFormat="1" ht="10.5" customHeight="1"/>
    <row r="280" s="569" customFormat="1" ht="10.5" customHeight="1"/>
    <row r="281" s="569" customFormat="1" ht="10.5" customHeight="1"/>
    <row r="282" s="569" customFormat="1" ht="10.5" customHeight="1"/>
    <row r="283" s="569" customFormat="1" ht="10.5" customHeight="1"/>
    <row r="284" s="569" customFormat="1" ht="10.5" customHeight="1"/>
    <row r="285" s="569" customFormat="1" ht="10.5" customHeight="1"/>
    <row r="286" s="569" customFormat="1" ht="10.5" customHeight="1"/>
    <row r="287" s="569" customFormat="1" ht="10.5" customHeight="1"/>
    <row r="288" s="569" customFormat="1" ht="10.5" customHeight="1"/>
    <row r="289" s="569" customFormat="1" ht="10.5" customHeight="1"/>
    <row r="290" s="569" customFormat="1" ht="10.5" customHeight="1"/>
    <row r="291" s="569" customFormat="1" ht="10.5" customHeight="1"/>
    <row r="292" s="569" customFormat="1" ht="10.5" customHeight="1"/>
    <row r="293" s="569" customFormat="1" ht="10.5" customHeight="1"/>
    <row r="294" s="569" customFormat="1" ht="10.5" customHeight="1"/>
    <row r="295" s="569" customFormat="1" ht="10.5" customHeight="1"/>
    <row r="296" s="569" customFormat="1" ht="10.5" customHeight="1"/>
    <row r="297" s="569" customFormat="1" ht="10.5" customHeight="1"/>
    <row r="298" s="569" customFormat="1" ht="10.5" customHeight="1"/>
    <row r="299" s="569" customFormat="1" ht="10.5" customHeight="1"/>
    <row r="300" s="569" customFormat="1" ht="10.5" customHeight="1"/>
    <row r="301" s="569" customFormat="1" ht="10.5" customHeight="1"/>
    <row r="302" s="569" customFormat="1" ht="10.5" customHeight="1"/>
    <row r="303" s="569" customFormat="1" ht="10.5" customHeight="1"/>
    <row r="304" s="569" customFormat="1" ht="10.5" customHeight="1"/>
    <row r="305" s="569" customFormat="1" ht="10.5" customHeight="1"/>
    <row r="306" s="569" customFormat="1" ht="10.5" customHeight="1"/>
    <row r="307" s="569" customFormat="1" ht="10.5" customHeight="1"/>
    <row r="308" s="569" customFormat="1" ht="10.5" customHeight="1"/>
    <row r="309" s="569" customFormat="1" ht="10.5" customHeight="1"/>
    <row r="310" s="569" customFormat="1" ht="10.5" customHeight="1"/>
    <row r="311" s="569" customFormat="1" ht="10.5" customHeight="1"/>
    <row r="312" s="569" customFormat="1" ht="10.5" customHeight="1"/>
    <row r="313" s="569" customFormat="1" ht="10.5" customHeight="1"/>
    <row r="314" s="569" customFormat="1" ht="10.5" customHeight="1"/>
    <row r="315" s="569" customFormat="1" ht="10.5" customHeight="1"/>
    <row r="316" s="569" customFormat="1" ht="10.5" customHeight="1"/>
    <row r="317" s="569" customFormat="1" ht="10.5" customHeight="1"/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3"/>
  <dimension ref="A1:M176"/>
  <sheetViews>
    <sheetView workbookViewId="0" topLeftCell="A42">
      <selection activeCell="D59" sqref="D59"/>
    </sheetView>
  </sheetViews>
  <sheetFormatPr defaultColWidth="11.421875" defaultRowHeight="12" customHeight="1"/>
  <cols>
    <col min="1" max="1" width="6.57421875" style="566" customWidth="1"/>
    <col min="2" max="3" width="11.421875" style="566" customWidth="1"/>
    <col min="4" max="4" width="10.7109375" style="566" customWidth="1"/>
    <col min="5" max="6" width="11.421875" style="566" customWidth="1"/>
    <col min="7" max="7" width="10.00390625" style="566" customWidth="1"/>
    <col min="8" max="8" width="14.140625" style="566" customWidth="1"/>
    <col min="9" max="16384" width="11.421875" style="566" customWidth="1"/>
  </cols>
  <sheetData>
    <row r="1" spans="1:8" s="506" customFormat="1" ht="12" customHeight="1">
      <c r="A1" s="561" t="s">
        <v>525</v>
      </c>
      <c r="B1" s="561" t="s">
        <v>526</v>
      </c>
      <c r="E1" s="561" t="s">
        <v>527</v>
      </c>
      <c r="F1" s="561" t="s">
        <v>528</v>
      </c>
      <c r="G1" s="561"/>
      <c r="H1" s="562">
        <f ca="1">TODAY()</f>
        <v>34767</v>
      </c>
    </row>
    <row r="2" spans="1:9" s="503" customFormat="1" ht="12" customHeight="1">
      <c r="A2" s="504"/>
      <c r="B2" s="504"/>
      <c r="C2" s="504"/>
      <c r="D2" s="504"/>
      <c r="E2" s="504" t="s">
        <v>531</v>
      </c>
      <c r="F2" s="504"/>
      <c r="G2" s="504"/>
      <c r="H2" s="563"/>
      <c r="I2" s="504"/>
    </row>
    <row r="3" spans="1:9" s="503" customFormat="1" ht="12" customHeight="1">
      <c r="A3" s="503"/>
      <c r="B3" s="561" t="s">
        <v>404</v>
      </c>
      <c r="C3" s="561" t="s">
        <v>532</v>
      </c>
      <c r="D3" s="561" t="s">
        <v>533</v>
      </c>
      <c r="E3" s="504"/>
      <c r="F3" s="504"/>
      <c r="G3" s="504"/>
      <c r="H3" s="504"/>
      <c r="I3" s="504"/>
    </row>
    <row r="4" spans="1:9" s="503" customFormat="1" ht="12" customHeight="1">
      <c r="A4" s="564" t="s">
        <v>999</v>
      </c>
      <c r="B4" s="561">
        <v>0</v>
      </c>
      <c r="C4" s="561">
        <v>0</v>
      </c>
      <c r="D4" s="561">
        <f>SUM(B4:C4)</f>
        <v>0</v>
      </c>
      <c r="E4" s="503"/>
      <c r="F4" s="561" t="s">
        <v>530</v>
      </c>
      <c r="G4" s="506"/>
      <c r="H4" s="504"/>
      <c r="I4" s="504"/>
    </row>
    <row r="5" spans="1:9" s="503" customFormat="1" ht="12" customHeight="1">
      <c r="A5" s="564" t="s">
        <v>1000</v>
      </c>
      <c r="B5" s="504">
        <v>314</v>
      </c>
      <c r="C5" s="504">
        <v>607</v>
      </c>
      <c r="D5" s="504">
        <f>SUM(B5:C5)</f>
        <v>921</v>
      </c>
      <c r="F5" s="504"/>
      <c r="G5" s="504"/>
      <c r="H5" s="504"/>
      <c r="I5" s="504"/>
    </row>
    <row r="6" spans="1:9" s="503" customFormat="1" ht="12" customHeight="1">
      <c r="A6" s="564" t="s">
        <v>1001</v>
      </c>
      <c r="B6" s="504">
        <v>314</v>
      </c>
      <c r="C6" s="504">
        <v>607</v>
      </c>
      <c r="D6" s="504">
        <f>SUM(B6:C6)</f>
        <v>921</v>
      </c>
      <c r="F6" s="508"/>
      <c r="G6" s="504"/>
      <c r="H6" s="504"/>
      <c r="I6" s="504"/>
    </row>
    <row r="7" spans="1:9" s="503" customFormat="1" ht="12" customHeight="1">
      <c r="A7" s="564" t="s">
        <v>1002</v>
      </c>
      <c r="B7" s="504">
        <v>314</v>
      </c>
      <c r="C7" s="504">
        <v>607</v>
      </c>
      <c r="D7" s="504">
        <f>SUM(B7:C7)</f>
        <v>921</v>
      </c>
      <c r="F7" s="504"/>
      <c r="G7" s="504"/>
      <c r="H7" s="504"/>
      <c r="I7" s="504"/>
    </row>
    <row r="8" spans="1:9" s="503" customFormat="1" ht="12" customHeight="1">
      <c r="A8" s="564" t="s">
        <v>1003</v>
      </c>
      <c r="B8" s="504">
        <v>0</v>
      </c>
      <c r="C8" s="504">
        <v>0</v>
      </c>
      <c r="D8" s="504">
        <f>SUM(B8:C8)</f>
        <v>0</v>
      </c>
      <c r="E8" s="503"/>
      <c r="F8" s="506" t="s">
        <v>1156</v>
      </c>
      <c r="G8" s="506" t="s">
        <v>995</v>
      </c>
      <c r="H8" s="509"/>
      <c r="I8" s="504"/>
    </row>
    <row r="9" spans="1:8" s="503" customFormat="1" ht="12" customHeight="1">
      <c r="A9" s="564" t="s">
        <v>1004</v>
      </c>
      <c r="B9" s="504">
        <v>0</v>
      </c>
      <c r="C9" s="504">
        <v>0</v>
      </c>
      <c r="D9" s="504">
        <f>SUM(B9:C9)</f>
        <v>0</v>
      </c>
      <c r="E9" s="503"/>
      <c r="F9" s="506">
        <f>33633/107</f>
        <v>314.32710280373834</v>
      </c>
      <c r="H9" s="504"/>
    </row>
    <row r="10" spans="1:8" s="503" customFormat="1" ht="12" customHeight="1">
      <c r="A10" s="564" t="s">
        <v>1005</v>
      </c>
      <c r="B10" s="504">
        <v>0</v>
      </c>
      <c r="C10" s="504">
        <v>0</v>
      </c>
      <c r="D10" s="504">
        <f>SUM(B10:C10)</f>
        <v>0</v>
      </c>
      <c r="E10" s="503"/>
      <c r="F10" s="503">
        <f>33633/314</f>
        <v>107.11146496815287</v>
      </c>
      <c r="H10" s="504"/>
    </row>
    <row r="11" spans="1:10" s="503" customFormat="1" ht="12" customHeight="1">
      <c r="A11" s="564" t="s">
        <v>1006</v>
      </c>
      <c r="B11" s="504">
        <v>314</v>
      </c>
      <c r="C11" s="504">
        <v>607</v>
      </c>
      <c r="D11" s="504">
        <f>SUM(B11:C11)</f>
        <v>921</v>
      </c>
      <c r="H11" s="504"/>
      <c r="I11" s="505"/>
      <c r="J11" s="505"/>
    </row>
    <row r="12" spans="1:10" s="503" customFormat="1" ht="12" customHeight="1">
      <c r="A12" s="564" t="s">
        <v>1007</v>
      </c>
      <c r="B12" s="504">
        <v>0</v>
      </c>
      <c r="C12" s="504">
        <v>0</v>
      </c>
      <c r="D12" s="504">
        <f>SUM(B12:C12)</f>
        <v>0</v>
      </c>
      <c r="E12" s="503"/>
      <c r="F12" s="506" t="s">
        <v>997</v>
      </c>
      <c r="H12" s="505"/>
      <c r="I12" s="505"/>
      <c r="J12" s="505"/>
    </row>
    <row r="13" spans="1:10" s="503" customFormat="1" ht="12" customHeight="1">
      <c r="A13" s="564" t="s">
        <v>1008</v>
      </c>
      <c r="B13" s="504">
        <v>0</v>
      </c>
      <c r="C13" s="504">
        <v>0</v>
      </c>
      <c r="D13" s="504">
        <f>SUM(B13:C13)</f>
        <v>0</v>
      </c>
      <c r="E13" s="503"/>
      <c r="F13" s="506" t="s">
        <v>998</v>
      </c>
      <c r="H13" s="505"/>
      <c r="I13" s="505"/>
      <c r="J13" s="505"/>
    </row>
    <row r="14" spans="1:10" s="503" customFormat="1" ht="12" customHeight="1">
      <c r="A14" s="564" t="s">
        <v>1009</v>
      </c>
      <c r="B14" s="504">
        <v>0</v>
      </c>
      <c r="C14" s="504">
        <v>0</v>
      </c>
      <c r="D14" s="504">
        <f>SUM(B14:C14)</f>
        <v>0</v>
      </c>
      <c r="E14" s="503"/>
      <c r="F14" s="506">
        <f>48978/107</f>
        <v>457.7383177570093</v>
      </c>
      <c r="H14" s="505"/>
      <c r="I14" s="505"/>
      <c r="J14" s="505"/>
    </row>
    <row r="15" spans="1:10" s="503" customFormat="1" ht="12" customHeight="1">
      <c r="A15" s="564" t="s">
        <v>1010</v>
      </c>
      <c r="B15" s="504">
        <v>0</v>
      </c>
      <c r="C15" s="504">
        <v>0</v>
      </c>
      <c r="D15" s="504">
        <f>SUM(B15:C15)</f>
        <v>0</v>
      </c>
      <c r="F15" s="505"/>
      <c r="G15" s="505"/>
      <c r="H15" s="505"/>
      <c r="I15" s="505"/>
      <c r="J15" s="505"/>
    </row>
    <row r="16" spans="1:10" s="503" customFormat="1" ht="12" customHeight="1">
      <c r="A16" s="564" t="s">
        <v>1011</v>
      </c>
      <c r="B16" s="504">
        <v>314</v>
      </c>
      <c r="C16" s="504">
        <v>607</v>
      </c>
      <c r="D16" s="504">
        <f>SUM(B16:C16)</f>
        <v>921</v>
      </c>
      <c r="F16" s="505"/>
      <c r="G16" s="505"/>
      <c r="H16" s="505"/>
      <c r="I16" s="505"/>
      <c r="J16" s="505"/>
    </row>
    <row r="17" spans="1:10" s="503" customFormat="1" ht="12" customHeight="1">
      <c r="A17" s="564" t="s">
        <v>1012</v>
      </c>
      <c r="B17" s="504">
        <v>314</v>
      </c>
      <c r="C17" s="504">
        <v>607</v>
      </c>
      <c r="D17" s="504">
        <f>SUM(B17:C17)</f>
        <v>921</v>
      </c>
      <c r="F17" s="505"/>
      <c r="G17" s="505"/>
      <c r="H17" s="505"/>
      <c r="I17" s="505"/>
      <c r="J17" s="505"/>
    </row>
    <row r="18" spans="1:10" s="503" customFormat="1" ht="12" customHeight="1">
      <c r="A18" s="564" t="s">
        <v>1013</v>
      </c>
      <c r="B18" s="504">
        <v>314</v>
      </c>
      <c r="C18" s="504">
        <v>607</v>
      </c>
      <c r="D18" s="504">
        <f>SUM(B18:C18)</f>
        <v>921</v>
      </c>
      <c r="F18" s="505"/>
      <c r="G18" s="505"/>
      <c r="H18" s="505"/>
      <c r="I18" s="505"/>
      <c r="J18" s="505"/>
    </row>
    <row r="19" spans="1:10" s="503" customFormat="1" ht="12" customHeight="1">
      <c r="A19" s="564" t="s">
        <v>1014</v>
      </c>
      <c r="B19" s="504">
        <v>314</v>
      </c>
      <c r="C19" s="504">
        <v>607</v>
      </c>
      <c r="D19" s="504">
        <f>SUM(B19:C19)</f>
        <v>921</v>
      </c>
      <c r="F19" s="505"/>
      <c r="G19" s="505"/>
      <c r="H19" s="505"/>
      <c r="I19" s="505"/>
      <c r="J19" s="505"/>
    </row>
    <row r="20" spans="1:12" s="503" customFormat="1" ht="12" customHeight="1">
      <c r="A20" s="564" t="s">
        <v>1015</v>
      </c>
      <c r="B20" s="504">
        <v>314</v>
      </c>
      <c r="C20" s="504">
        <v>607</v>
      </c>
      <c r="D20" s="504">
        <f>SUM(B20:C20)</f>
        <v>921</v>
      </c>
      <c r="F20" s="505"/>
      <c r="G20" s="505"/>
      <c r="H20" s="505"/>
      <c r="I20" s="505"/>
      <c r="J20" s="505"/>
      <c r="K20" s="505"/>
      <c r="L20" s="505"/>
    </row>
    <row r="21" spans="1:12" s="503" customFormat="1" ht="12" customHeight="1">
      <c r="A21" s="564" t="s">
        <v>1016</v>
      </c>
      <c r="B21" s="504">
        <v>314</v>
      </c>
      <c r="C21" s="504">
        <v>607</v>
      </c>
      <c r="D21" s="504">
        <f>SUM(B21:C21)</f>
        <v>921</v>
      </c>
      <c r="F21" s="505"/>
      <c r="G21" s="505"/>
      <c r="H21" s="505"/>
      <c r="I21" s="505"/>
      <c r="J21" s="505"/>
      <c r="K21" s="505"/>
      <c r="L21" s="505"/>
    </row>
    <row r="22" spans="1:12" s="503" customFormat="1" ht="12" customHeight="1">
      <c r="A22" s="564" t="s">
        <v>1017</v>
      </c>
      <c r="B22" s="504">
        <v>314</v>
      </c>
      <c r="C22" s="504">
        <v>607</v>
      </c>
      <c r="D22" s="504">
        <f>SUM(B22:C22)</f>
        <v>921</v>
      </c>
      <c r="F22" s="505"/>
      <c r="G22" s="505"/>
      <c r="H22" s="505"/>
      <c r="I22" s="505"/>
      <c r="J22" s="505"/>
      <c r="K22" s="505"/>
      <c r="L22" s="505"/>
    </row>
    <row r="23" spans="1:12" s="503" customFormat="1" ht="12" customHeight="1">
      <c r="A23" s="564" t="s">
        <v>1018</v>
      </c>
      <c r="B23" s="504">
        <v>314</v>
      </c>
      <c r="C23" s="504">
        <v>607</v>
      </c>
      <c r="D23" s="504">
        <f>SUM(B23:C23)</f>
        <v>921</v>
      </c>
      <c r="F23" s="505"/>
      <c r="G23" s="505"/>
      <c r="H23" s="505"/>
      <c r="I23" s="505"/>
      <c r="J23" s="505"/>
      <c r="K23" s="505"/>
      <c r="L23" s="505"/>
    </row>
    <row r="24" spans="1:8" s="503" customFormat="1" ht="12" customHeight="1">
      <c r="A24" s="564" t="s">
        <v>1019</v>
      </c>
      <c r="B24" s="504">
        <v>314</v>
      </c>
      <c r="C24" s="504">
        <v>607</v>
      </c>
      <c r="D24" s="504">
        <f>SUM(B24:C24)</f>
        <v>921</v>
      </c>
      <c r="F24" s="565"/>
      <c r="G24" s="505"/>
      <c r="H24" s="505"/>
    </row>
    <row r="25" spans="1:8" s="503" customFormat="1" ht="12" customHeight="1">
      <c r="A25" s="564" t="s">
        <v>1020</v>
      </c>
      <c r="B25" s="504">
        <v>314</v>
      </c>
      <c r="C25" s="504">
        <v>607</v>
      </c>
      <c r="D25" s="504">
        <f>SUM(B25:C25)</f>
        <v>921</v>
      </c>
      <c r="F25" s="505"/>
      <c r="G25" s="505"/>
      <c r="H25" s="505"/>
    </row>
    <row r="26" spans="1:8" s="503" customFormat="1" ht="12" customHeight="1">
      <c r="A26" s="564" t="s">
        <v>1021</v>
      </c>
      <c r="B26" s="504">
        <v>314</v>
      </c>
      <c r="C26" s="504">
        <v>607</v>
      </c>
      <c r="D26" s="504">
        <f>SUM(B26:C26)</f>
        <v>921</v>
      </c>
      <c r="F26" s="505"/>
      <c r="G26" s="505"/>
      <c r="H26" s="505"/>
    </row>
    <row r="27" spans="1:8" s="503" customFormat="1" ht="12" customHeight="1">
      <c r="A27" s="564" t="s">
        <v>1022</v>
      </c>
      <c r="B27" s="504">
        <v>314</v>
      </c>
      <c r="C27" s="504">
        <v>607</v>
      </c>
      <c r="D27" s="504">
        <f>SUM(B27:C27)</f>
        <v>921</v>
      </c>
      <c r="F27" s="505"/>
      <c r="G27" s="505"/>
      <c r="H27" s="505"/>
    </row>
    <row r="28" spans="1:8" s="503" customFormat="1" ht="12" customHeight="1">
      <c r="A28" s="564" t="s">
        <v>1023</v>
      </c>
      <c r="B28" s="504">
        <v>314</v>
      </c>
      <c r="C28" s="504">
        <v>607</v>
      </c>
      <c r="D28" s="504">
        <f>SUM(B28:C28)</f>
        <v>921</v>
      </c>
      <c r="F28" s="505"/>
      <c r="G28" s="505"/>
      <c r="H28" s="505"/>
    </row>
    <row r="29" spans="1:4" s="503" customFormat="1" ht="12" customHeight="1">
      <c r="A29" s="564" t="s">
        <v>1024</v>
      </c>
      <c r="B29" s="504">
        <v>314</v>
      </c>
      <c r="C29" s="504">
        <v>607</v>
      </c>
      <c r="D29" s="504">
        <f>SUM(B29:C29)</f>
        <v>921</v>
      </c>
    </row>
    <row r="30" spans="1:4" s="503" customFormat="1" ht="12" customHeight="1">
      <c r="A30" s="564" t="s">
        <v>1025</v>
      </c>
      <c r="B30" s="504">
        <v>314</v>
      </c>
      <c r="C30" s="504">
        <v>607</v>
      </c>
      <c r="D30" s="504">
        <f>SUM(B30:C30)</f>
        <v>921</v>
      </c>
    </row>
    <row r="31" spans="1:4" s="503" customFormat="1" ht="12" customHeight="1">
      <c r="A31" s="564" t="s">
        <v>1026</v>
      </c>
      <c r="B31" s="504">
        <v>314</v>
      </c>
      <c r="C31" s="504">
        <v>607</v>
      </c>
      <c r="D31" s="504">
        <f>SUM(B31:C31)</f>
        <v>921</v>
      </c>
    </row>
    <row r="32" spans="1:4" s="503" customFormat="1" ht="12" customHeight="1">
      <c r="A32" s="564" t="s">
        <v>1027</v>
      </c>
      <c r="B32" s="504">
        <v>314</v>
      </c>
      <c r="C32" s="504">
        <v>607</v>
      </c>
      <c r="D32" s="504">
        <f>SUM(B32:C32)</f>
        <v>921</v>
      </c>
    </row>
    <row r="33" spans="1:4" s="503" customFormat="1" ht="12" customHeight="1">
      <c r="A33" s="564" t="s">
        <v>1028</v>
      </c>
      <c r="B33" s="504">
        <v>314</v>
      </c>
      <c r="C33" s="504">
        <v>607</v>
      </c>
      <c r="D33" s="504">
        <f>SUM(B33:C33)</f>
        <v>921</v>
      </c>
    </row>
    <row r="34" spans="1:4" s="503" customFormat="1" ht="12" customHeight="1">
      <c r="A34" s="564" t="s">
        <v>1029</v>
      </c>
      <c r="B34" s="504">
        <v>314</v>
      </c>
      <c r="C34" s="504">
        <v>607</v>
      </c>
      <c r="D34" s="504">
        <f>SUM(B34:C34)</f>
        <v>921</v>
      </c>
    </row>
    <row r="35" spans="1:4" s="503" customFormat="1" ht="12" customHeight="1">
      <c r="A35" s="564" t="s">
        <v>1030</v>
      </c>
      <c r="B35" s="504">
        <v>314</v>
      </c>
      <c r="C35" s="504">
        <v>607</v>
      </c>
      <c r="D35" s="504">
        <f>SUM(B35:C35)</f>
        <v>921</v>
      </c>
    </row>
    <row r="36" spans="1:4" s="503" customFormat="1" ht="12" customHeight="1">
      <c r="A36" s="564" t="s">
        <v>1031</v>
      </c>
      <c r="B36" s="504">
        <v>314</v>
      </c>
      <c r="C36" s="504">
        <v>607</v>
      </c>
      <c r="D36" s="504">
        <f>SUM(B36:C36)</f>
        <v>921</v>
      </c>
    </row>
    <row r="37" spans="1:4" s="503" customFormat="1" ht="12" customHeight="1">
      <c r="A37" s="564" t="s">
        <v>1032</v>
      </c>
      <c r="B37" s="504">
        <v>314</v>
      </c>
      <c r="C37" s="504">
        <v>607</v>
      </c>
      <c r="D37" s="504">
        <f>SUM(B37:C37)</f>
        <v>921</v>
      </c>
    </row>
    <row r="38" spans="1:4" s="503" customFormat="1" ht="12" customHeight="1">
      <c r="A38" s="564" t="s">
        <v>1033</v>
      </c>
      <c r="B38" s="504">
        <v>314</v>
      </c>
      <c r="C38" s="504">
        <v>607</v>
      </c>
      <c r="D38" s="504">
        <f>SUM(B38:C38)</f>
        <v>921</v>
      </c>
    </row>
    <row r="39" spans="1:4" s="503" customFormat="1" ht="12" customHeight="1">
      <c r="A39" s="564" t="s">
        <v>1034</v>
      </c>
      <c r="B39" s="504">
        <v>314</v>
      </c>
      <c r="C39" s="504">
        <v>607</v>
      </c>
      <c r="D39" s="504">
        <f>SUM(B39:C39)</f>
        <v>921</v>
      </c>
    </row>
    <row r="40" spans="1:4" s="503" customFormat="1" ht="12" customHeight="1">
      <c r="A40" s="564" t="s">
        <v>1035</v>
      </c>
      <c r="B40" s="504">
        <v>314</v>
      </c>
      <c r="C40" s="504">
        <v>607</v>
      </c>
      <c r="D40" s="504">
        <f>SUM(B40:C40)</f>
        <v>921</v>
      </c>
    </row>
    <row r="41" spans="1:4" s="503" customFormat="1" ht="12" customHeight="1">
      <c r="A41" s="564" t="s">
        <v>1036</v>
      </c>
      <c r="B41" s="504">
        <v>314</v>
      </c>
      <c r="C41" s="504">
        <v>607</v>
      </c>
      <c r="D41" s="504">
        <f>SUM(B41:C41)</f>
        <v>921</v>
      </c>
    </row>
    <row r="42" spans="1:4" s="503" customFormat="1" ht="12" customHeight="1">
      <c r="A42" s="564" t="s">
        <v>1037</v>
      </c>
      <c r="B42" s="504">
        <v>314</v>
      </c>
      <c r="C42" s="504">
        <v>607</v>
      </c>
      <c r="D42" s="504">
        <f>SUM(B42:C42)</f>
        <v>921</v>
      </c>
    </row>
    <row r="43" spans="1:4" s="503" customFormat="1" ht="12" customHeight="1">
      <c r="A43" s="564" t="s">
        <v>1038</v>
      </c>
      <c r="B43" s="504">
        <v>314</v>
      </c>
      <c r="C43" s="504">
        <v>607</v>
      </c>
      <c r="D43" s="504">
        <f>SUM(B43:C43)</f>
        <v>921</v>
      </c>
    </row>
    <row r="44" spans="1:4" s="503" customFormat="1" ht="12" customHeight="1">
      <c r="A44" s="564" t="s">
        <v>1039</v>
      </c>
      <c r="B44" s="504">
        <v>314</v>
      </c>
      <c r="C44" s="504">
        <v>607</v>
      </c>
      <c r="D44" s="504">
        <f>SUM(B44:C44)</f>
        <v>921</v>
      </c>
    </row>
    <row r="45" spans="1:4" s="503" customFormat="1" ht="12" customHeight="1">
      <c r="A45" s="564" t="s">
        <v>1040</v>
      </c>
      <c r="B45" s="504">
        <v>314</v>
      </c>
      <c r="C45" s="504">
        <v>607</v>
      </c>
      <c r="D45" s="504">
        <f>SUM(B45:C45)</f>
        <v>921</v>
      </c>
    </row>
    <row r="46" spans="1:4" s="503" customFormat="1" ht="12" customHeight="1">
      <c r="A46" s="564" t="s">
        <v>1041</v>
      </c>
      <c r="B46" s="504">
        <v>314</v>
      </c>
      <c r="C46" s="504">
        <v>607</v>
      </c>
      <c r="D46" s="504">
        <f>SUM(B46:C46)</f>
        <v>921</v>
      </c>
    </row>
    <row r="47" spans="1:4" s="503" customFormat="1" ht="12" customHeight="1">
      <c r="A47" s="564" t="s">
        <v>1042</v>
      </c>
      <c r="B47" s="504">
        <v>0</v>
      </c>
      <c r="C47" s="504">
        <v>0</v>
      </c>
      <c r="D47" s="504">
        <f>SUM(B47:C47)</f>
        <v>0</v>
      </c>
    </row>
    <row r="48" spans="1:4" s="503" customFormat="1" ht="12" customHeight="1">
      <c r="A48" s="564" t="s">
        <v>1043</v>
      </c>
      <c r="B48" s="504">
        <v>314</v>
      </c>
      <c r="C48" s="504">
        <v>607</v>
      </c>
      <c r="D48" s="504">
        <f>SUM(B48:C48)</f>
        <v>921</v>
      </c>
    </row>
    <row r="49" spans="1:4" s="503" customFormat="1" ht="12" customHeight="1">
      <c r="A49" s="564" t="s">
        <v>1044</v>
      </c>
      <c r="B49" s="504">
        <v>314</v>
      </c>
      <c r="C49" s="504">
        <v>607</v>
      </c>
      <c r="D49" s="504">
        <f>SUM(B49:C49)</f>
        <v>921</v>
      </c>
    </row>
    <row r="50" spans="1:4" s="503" customFormat="1" ht="12" customHeight="1">
      <c r="A50" s="564" t="s">
        <v>1045</v>
      </c>
      <c r="B50" s="504">
        <v>314</v>
      </c>
      <c r="C50" s="504">
        <v>607</v>
      </c>
      <c r="D50" s="504">
        <f>SUM(B50:C50)</f>
        <v>921</v>
      </c>
    </row>
    <row r="51" spans="1:4" s="503" customFormat="1" ht="12" customHeight="1">
      <c r="A51" s="564" t="s">
        <v>1046</v>
      </c>
      <c r="B51" s="504">
        <v>0</v>
      </c>
      <c r="C51" s="504">
        <v>0</v>
      </c>
      <c r="D51" s="504">
        <f>SUM(B51:C51)</f>
        <v>0</v>
      </c>
    </row>
    <row r="52" spans="1:4" s="503" customFormat="1" ht="12" customHeight="1">
      <c r="A52" s="564" t="s">
        <v>1047</v>
      </c>
      <c r="B52" s="504">
        <v>0</v>
      </c>
      <c r="C52" s="504">
        <v>0</v>
      </c>
      <c r="D52" s="504">
        <f>SUM(B52:C52)</f>
        <v>0</v>
      </c>
    </row>
    <row r="53" spans="1:4" s="503" customFormat="1" ht="12" customHeight="1">
      <c r="A53" s="564" t="s">
        <v>1048</v>
      </c>
      <c r="B53" s="504">
        <v>0</v>
      </c>
      <c r="C53" s="504">
        <v>0</v>
      </c>
      <c r="D53" s="504">
        <f>SUM(B53:C53)</f>
        <v>0</v>
      </c>
    </row>
    <row r="54" spans="1:4" s="503" customFormat="1" ht="12" customHeight="1">
      <c r="A54" s="564" t="s">
        <v>1049</v>
      </c>
      <c r="B54" s="504">
        <v>314</v>
      </c>
      <c r="C54" s="504">
        <v>607</v>
      </c>
      <c r="D54" s="504">
        <f>SUM(B54:C54)</f>
        <v>921</v>
      </c>
    </row>
    <row r="55" spans="1:4" s="503" customFormat="1" ht="12" customHeight="1">
      <c r="A55" s="564" t="s">
        <v>1050</v>
      </c>
      <c r="B55" s="504">
        <v>0</v>
      </c>
      <c r="C55" s="504">
        <v>0</v>
      </c>
      <c r="D55" s="504">
        <f>SUM(B55:C55)</f>
        <v>0</v>
      </c>
    </row>
    <row r="56" spans="1:4" s="503" customFormat="1" ht="12" customHeight="1">
      <c r="A56" s="564" t="s">
        <v>1051</v>
      </c>
      <c r="B56" s="504">
        <v>0</v>
      </c>
      <c r="C56" s="504">
        <v>0</v>
      </c>
      <c r="D56" s="504">
        <f>SUM(B56:C56)</f>
        <v>0</v>
      </c>
    </row>
    <row r="57" spans="1:4" s="503" customFormat="1" ht="12" customHeight="1">
      <c r="A57" s="564" t="s">
        <v>1052</v>
      </c>
      <c r="B57" s="504">
        <v>0</v>
      </c>
      <c r="C57" s="504">
        <v>0</v>
      </c>
      <c r="D57" s="504">
        <f>SUM(B57:C57)</f>
        <v>0</v>
      </c>
    </row>
    <row r="58" spans="1:9" s="503" customFormat="1" ht="12" customHeight="1">
      <c r="A58" s="564"/>
      <c r="B58" s="506" t="s">
        <v>404</v>
      </c>
      <c r="C58" s="506" t="s">
        <v>532</v>
      </c>
      <c r="D58" s="506" t="s">
        <v>533</v>
      </c>
      <c r="G58" s="504"/>
      <c r="H58" s="504"/>
      <c r="I58" s="504"/>
    </row>
    <row r="59" spans="1:9" s="503" customFormat="1" ht="12" customHeight="1">
      <c r="A59" s="564"/>
      <c r="B59" s="506">
        <f>SUM(B4:B57)</f>
        <v>12246</v>
      </c>
      <c r="C59" s="506">
        <f>SUM(C4:C57)</f>
        <v>23673</v>
      </c>
      <c r="D59" s="506">
        <f>B59+C59</f>
        <v>35919</v>
      </c>
      <c r="G59" s="504"/>
      <c r="H59" s="504"/>
      <c r="I59" s="504"/>
    </row>
    <row r="60" spans="1:9" s="503" customFormat="1" ht="12" customHeight="1">
      <c r="A60" s="564"/>
      <c r="B60" s="561" t="s">
        <v>526</v>
      </c>
      <c r="C60" s="506"/>
      <c r="D60" s="506"/>
      <c r="E60" s="561" t="s">
        <v>527</v>
      </c>
      <c r="F60" s="561" t="s">
        <v>528</v>
      </c>
      <c r="G60" s="561"/>
      <c r="I60" s="504"/>
    </row>
    <row r="61" spans="1:9" s="503" customFormat="1" ht="12" customHeight="1">
      <c r="A61" s="564"/>
      <c r="B61" s="504" t="s">
        <v>404</v>
      </c>
      <c r="C61" s="504" t="s">
        <v>532</v>
      </c>
      <c r="D61" s="504" t="s">
        <v>533</v>
      </c>
      <c r="E61" s="504" t="s">
        <v>531</v>
      </c>
      <c r="F61" s="504"/>
      <c r="G61" s="504"/>
      <c r="H61" s="562">
        <f ca="1">TODAY()</f>
        <v>34767</v>
      </c>
      <c r="I61" s="504"/>
    </row>
    <row r="62" spans="1:4" s="503" customFormat="1" ht="12" customHeight="1">
      <c r="A62" s="564" t="s">
        <v>1053</v>
      </c>
      <c r="B62" s="504">
        <v>0</v>
      </c>
      <c r="C62" s="504">
        <v>0</v>
      </c>
      <c r="D62" s="504">
        <f>SUM(B62:C62)</f>
        <v>0</v>
      </c>
    </row>
    <row r="63" spans="1:4" ht="12" customHeight="1">
      <c r="A63" s="564" t="s">
        <v>1054</v>
      </c>
      <c r="B63" s="504">
        <v>0</v>
      </c>
      <c r="C63" s="504">
        <v>0</v>
      </c>
      <c r="D63" s="504">
        <f>SUM(B63:C63)</f>
        <v>0</v>
      </c>
    </row>
    <row r="64" spans="1:4" ht="12" customHeight="1">
      <c r="A64" s="564" t="s">
        <v>1055</v>
      </c>
      <c r="B64" s="504">
        <v>0</v>
      </c>
      <c r="C64" s="504">
        <v>0</v>
      </c>
      <c r="D64" s="504">
        <f>SUM(B64:C64)</f>
        <v>0</v>
      </c>
    </row>
    <row r="65" spans="1:4" ht="12" customHeight="1">
      <c r="A65" s="564" t="s">
        <v>1056</v>
      </c>
      <c r="B65" s="504">
        <v>0</v>
      </c>
      <c r="C65" s="504">
        <v>0</v>
      </c>
      <c r="D65" s="504">
        <f>SUM(B65:C65)</f>
        <v>0</v>
      </c>
    </row>
    <row r="66" spans="1:4" ht="12" customHeight="1">
      <c r="A66" s="564" t="s">
        <v>1057</v>
      </c>
      <c r="B66" s="504">
        <v>0</v>
      </c>
      <c r="C66" s="504">
        <v>0</v>
      </c>
      <c r="D66" s="504">
        <f>SUM(B66:C66)</f>
        <v>0</v>
      </c>
    </row>
    <row r="67" spans="1:4" ht="12" customHeight="1">
      <c r="A67" s="564" t="s">
        <v>1058</v>
      </c>
      <c r="B67" s="504">
        <v>0</v>
      </c>
      <c r="C67" s="504">
        <v>0</v>
      </c>
      <c r="D67" s="504">
        <f>SUM(B67:C67)</f>
        <v>0</v>
      </c>
    </row>
    <row r="68" spans="1:4" ht="12" customHeight="1">
      <c r="A68" s="564" t="s">
        <v>1059</v>
      </c>
      <c r="B68" s="504">
        <v>0</v>
      </c>
      <c r="C68" s="504">
        <v>0</v>
      </c>
      <c r="D68" s="504">
        <f>SUM(B68:C68)</f>
        <v>0</v>
      </c>
    </row>
    <row r="69" spans="1:4" ht="12" customHeight="1">
      <c r="A69" s="564" t="s">
        <v>1060</v>
      </c>
      <c r="B69" s="504">
        <v>0</v>
      </c>
      <c r="C69" s="504">
        <v>0</v>
      </c>
      <c r="D69" s="504">
        <f>SUM(B69:C69)</f>
        <v>0</v>
      </c>
    </row>
    <row r="70" spans="1:4" ht="12" customHeight="1">
      <c r="A70" s="564" t="s">
        <v>1061</v>
      </c>
      <c r="B70" s="504">
        <v>0</v>
      </c>
      <c r="C70" s="504">
        <v>0</v>
      </c>
      <c r="D70" s="504">
        <f>SUM(B70:C70)</f>
        <v>0</v>
      </c>
    </row>
    <row r="71" spans="1:4" ht="12" customHeight="1">
      <c r="A71" s="564" t="s">
        <v>1063</v>
      </c>
      <c r="B71" s="504">
        <v>0</v>
      </c>
      <c r="C71" s="504">
        <v>0</v>
      </c>
      <c r="D71" s="504">
        <f>SUM(B71:C71)</f>
        <v>0</v>
      </c>
    </row>
    <row r="72" spans="1:4" ht="12" customHeight="1">
      <c r="A72" s="564" t="s">
        <v>1064</v>
      </c>
      <c r="B72" s="504">
        <v>0</v>
      </c>
      <c r="C72" s="504">
        <v>0</v>
      </c>
      <c r="D72" s="504">
        <f>SUM(B72:C72)</f>
        <v>0</v>
      </c>
    </row>
    <row r="73" spans="1:13" s="503" customFormat="1" ht="12" customHeight="1">
      <c r="A73" s="564" t="s">
        <v>1065</v>
      </c>
      <c r="B73" s="504">
        <v>0</v>
      </c>
      <c r="C73" s="504">
        <v>0</v>
      </c>
      <c r="D73" s="504">
        <f>SUM(B73:C73)</f>
        <v>0</v>
      </c>
      <c r="I73" s="561"/>
      <c r="J73" s="505"/>
      <c r="K73" s="505"/>
      <c r="L73" s="505"/>
      <c r="M73" s="505"/>
    </row>
    <row r="74" spans="1:10" s="503" customFormat="1" ht="12" customHeight="1">
      <c r="A74" s="503" t="s">
        <v>1080</v>
      </c>
      <c r="B74" s="504">
        <v>0</v>
      </c>
      <c r="C74" s="504">
        <v>0</v>
      </c>
      <c r="D74" s="504">
        <f>SUM(B74:C74)</f>
        <v>0</v>
      </c>
      <c r="F74" s="505"/>
      <c r="G74" s="505"/>
      <c r="H74" s="505"/>
      <c r="I74" s="505"/>
      <c r="J74" s="505"/>
    </row>
    <row r="75" spans="1:12" s="503" customFormat="1" ht="12" customHeight="1">
      <c r="A75" s="560" t="s">
        <v>1087</v>
      </c>
      <c r="B75" s="567">
        <v>0</v>
      </c>
      <c r="C75" s="567">
        <v>0</v>
      </c>
      <c r="D75" s="567">
        <f>B75+C75</f>
        <v>0</v>
      </c>
      <c r="E75" s="568" t="s">
        <v>1133</v>
      </c>
      <c r="F75" s="566"/>
      <c r="G75" s="566"/>
      <c r="H75" s="566"/>
      <c r="I75" s="505"/>
      <c r="J75" s="505"/>
      <c r="K75" s="505"/>
      <c r="L75" s="505"/>
    </row>
    <row r="76" spans="2:8" s="503" customFormat="1" ht="12" customHeight="1">
      <c r="B76" s="504"/>
      <c r="C76" s="504"/>
      <c r="D76" s="504"/>
      <c r="F76" s="506" t="s">
        <v>1156</v>
      </c>
      <c r="G76" s="506" t="s">
        <v>995</v>
      </c>
      <c r="H76" s="506"/>
    </row>
    <row r="77" spans="1:6" s="503" customFormat="1" ht="12" customHeight="1">
      <c r="A77" s="506"/>
      <c r="B77" s="506">
        <f>SUM(B62:B75)</f>
        <v>0</v>
      </c>
      <c r="C77" s="506">
        <f>SUM(C62:C75)</f>
        <v>0</v>
      </c>
      <c r="D77" s="506">
        <f>B77+C77</f>
        <v>0</v>
      </c>
      <c r="E77" s="503"/>
      <c r="F77" s="506">
        <f>33633/107</f>
        <v>314.32710280373834</v>
      </c>
    </row>
    <row r="78" spans="1:6" s="503" customFormat="1" ht="12" customHeight="1">
      <c r="A78" s="503"/>
      <c r="B78" s="506" t="s">
        <v>1088</v>
      </c>
      <c r="C78" s="506" t="s">
        <v>1089</v>
      </c>
      <c r="D78" s="506" t="s">
        <v>2</v>
      </c>
      <c r="E78" s="503"/>
      <c r="F78" s="506" t="s">
        <v>997</v>
      </c>
    </row>
    <row r="79" spans="1:8" ht="12" customHeight="1">
      <c r="A79" s="506"/>
      <c r="B79" s="503"/>
      <c r="C79" s="503"/>
      <c r="D79" s="503"/>
      <c r="E79" s="503"/>
      <c r="F79" s="506" t="s">
        <v>1157</v>
      </c>
      <c r="G79" s="503"/>
      <c r="H79" s="503"/>
    </row>
    <row r="80" spans="1:8" ht="12" customHeight="1">
      <c r="A80" s="506"/>
      <c r="B80" s="506">
        <f>B59+B77</f>
        <v>12246</v>
      </c>
      <c r="C80" s="506">
        <f>C59+C77</f>
        <v>23673</v>
      </c>
      <c r="D80" s="506">
        <f>D59+D77</f>
        <v>35919</v>
      </c>
      <c r="E80" s="566"/>
      <c r="F80" s="568">
        <f>64966/107</f>
        <v>607.1588785046729</v>
      </c>
      <c r="G80" s="560"/>
      <c r="H80" s="503"/>
    </row>
    <row r="81" spans="5:7" s="503" customFormat="1" ht="12" customHeight="1">
      <c r="E81" s="561" t="s">
        <v>996</v>
      </c>
      <c r="F81" s="504"/>
      <c r="G81" s="504"/>
    </row>
    <row r="82" spans="2:7" s="503" customFormat="1" ht="12" customHeight="1">
      <c r="B82" s="503">
        <v>33633</v>
      </c>
      <c r="C82" s="503">
        <v>48937</v>
      </c>
      <c r="D82" s="503">
        <f>SUM(B82:C82)</f>
        <v>82570</v>
      </c>
      <c r="E82" s="504">
        <f>333*14</f>
        <v>4662</v>
      </c>
      <c r="F82" s="504">
        <f>700*14</f>
        <v>9800</v>
      </c>
      <c r="G82" s="504">
        <f>SUM(E82:F82)</f>
        <v>14462</v>
      </c>
    </row>
    <row r="83" spans="2:4" s="503" customFormat="1" ht="12" customHeight="1">
      <c r="B83" s="506">
        <v>33633</v>
      </c>
      <c r="C83" s="506">
        <v>64966</v>
      </c>
      <c r="D83" s="506">
        <f>SUM(B83:C83)</f>
        <v>98599</v>
      </c>
    </row>
    <row r="84" spans="2:4" s="503" customFormat="1" ht="12" customHeight="1">
      <c r="B84" s="503">
        <f>B83/107</f>
        <v>314.32710280373834</v>
      </c>
      <c r="C84" s="503">
        <f>C83/107</f>
        <v>607.1588785046729</v>
      </c>
      <c r="D84" s="503">
        <f>D83/107</f>
        <v>921.4859813084112</v>
      </c>
    </row>
    <row r="85" spans="2:4" s="503" customFormat="1" ht="12" customHeight="1">
      <c r="B85" s="504"/>
      <c r="C85" s="504"/>
      <c r="D85" s="504"/>
    </row>
    <row r="86" spans="2:4" s="503" customFormat="1" ht="12" customHeight="1">
      <c r="B86" s="504"/>
      <c r="C86" s="504"/>
      <c r="D86" s="504"/>
    </row>
    <row r="87" spans="2:4" s="503" customFormat="1" ht="12" customHeight="1">
      <c r="B87" s="504"/>
      <c r="C87" s="504"/>
      <c r="D87" s="504"/>
    </row>
    <row r="88" spans="2:4" s="503" customFormat="1" ht="12" customHeight="1">
      <c r="B88" s="504"/>
      <c r="C88" s="504"/>
      <c r="D88" s="504"/>
    </row>
    <row r="89" spans="2:4" s="503" customFormat="1" ht="12" customHeight="1">
      <c r="B89" s="504"/>
      <c r="C89" s="504"/>
      <c r="D89" s="504"/>
    </row>
    <row r="90" s="503" customFormat="1" ht="12" customHeight="1"/>
    <row r="91" s="503" customFormat="1" ht="12" customHeight="1"/>
    <row r="92" s="503" customFormat="1" ht="12" customHeight="1"/>
    <row r="93" s="503" customFormat="1" ht="12" customHeight="1"/>
    <row r="94" s="503" customFormat="1" ht="12" customHeight="1"/>
    <row r="95" s="503" customFormat="1" ht="12" customHeight="1"/>
    <row r="96" s="503" customFormat="1" ht="12" customHeight="1"/>
    <row r="97" s="503" customFormat="1" ht="12" customHeight="1"/>
    <row r="98" s="503" customFormat="1" ht="12" customHeight="1"/>
    <row r="99" s="503" customFormat="1" ht="12" customHeight="1"/>
    <row r="100" s="503" customFormat="1" ht="12" customHeight="1"/>
    <row r="101" s="503" customFormat="1" ht="12" customHeight="1"/>
    <row r="102" s="503" customFormat="1" ht="12" customHeight="1"/>
    <row r="103" s="503" customFormat="1" ht="12" customHeight="1"/>
    <row r="104" s="503" customFormat="1" ht="12" customHeight="1"/>
    <row r="105" s="503" customFormat="1" ht="12" customHeight="1"/>
    <row r="106" s="503" customFormat="1" ht="12" customHeight="1"/>
    <row r="107" s="503" customFormat="1" ht="12" customHeight="1"/>
    <row r="115" ht="12" customHeight="1">
      <c r="A115" s="503"/>
    </row>
    <row r="116" ht="12" customHeight="1">
      <c r="A116" s="503"/>
    </row>
    <row r="122" spans="1:7" ht="12" customHeight="1">
      <c r="A122" s="505"/>
      <c r="E122" s="505"/>
      <c r="F122" s="505"/>
      <c r="G122" s="505"/>
    </row>
    <row r="123" ht="12" customHeight="1">
      <c r="H123" s="506"/>
    </row>
    <row r="124" spans="1:8" s="569" customFormat="1" ht="12" customHeight="1">
      <c r="A124" s="504"/>
      <c r="B124" s="504"/>
      <c r="C124" s="505"/>
      <c r="D124" s="505"/>
      <c r="E124" s="504"/>
      <c r="F124" s="504"/>
      <c r="G124" s="504"/>
      <c r="H124" s="507"/>
    </row>
    <row r="125" spans="1:8" s="569" customFormat="1" ht="12" customHeight="1">
      <c r="A125" s="505"/>
      <c r="B125" s="504"/>
      <c r="C125" s="504"/>
      <c r="D125" s="504"/>
      <c r="E125" s="504"/>
      <c r="F125" s="504"/>
      <c r="G125" s="504"/>
      <c r="H125" s="504"/>
    </row>
    <row r="126" spans="5:8" s="569" customFormat="1" ht="12" customHeight="1">
      <c r="E126" s="505"/>
      <c r="F126" s="504"/>
      <c r="G126" s="505"/>
      <c r="H126" s="504"/>
    </row>
    <row r="127" spans="5:8" s="569" customFormat="1" ht="12" customHeight="1">
      <c r="E127" s="505"/>
      <c r="F127" s="504"/>
      <c r="G127" s="504"/>
      <c r="H127" s="504"/>
    </row>
    <row r="128" spans="5:8" s="569" customFormat="1" ht="12" customHeight="1">
      <c r="E128" s="505"/>
      <c r="F128" s="508"/>
      <c r="G128" s="504"/>
      <c r="H128" s="504"/>
    </row>
    <row r="129" spans="5:8" s="569" customFormat="1" ht="12" customHeight="1">
      <c r="E129" s="505"/>
      <c r="F129" s="504"/>
      <c r="G129" s="504"/>
      <c r="H129" s="504"/>
    </row>
    <row r="130" spans="5:8" s="569" customFormat="1" ht="12" customHeight="1">
      <c r="E130" s="505"/>
      <c r="F130" s="504"/>
      <c r="G130" s="504"/>
      <c r="H130" s="509"/>
    </row>
    <row r="131" spans="5:8" s="569" customFormat="1" ht="12" customHeight="1">
      <c r="E131" s="505"/>
      <c r="F131" s="504"/>
      <c r="G131" s="504"/>
      <c r="H131" s="504"/>
    </row>
    <row r="132" spans="5:8" s="569" customFormat="1" ht="12" customHeight="1">
      <c r="E132" s="505"/>
      <c r="F132" s="504"/>
      <c r="G132" s="504"/>
      <c r="H132" s="504"/>
    </row>
    <row r="133" spans="5:8" s="569" customFormat="1" ht="12" customHeight="1">
      <c r="E133" s="505"/>
      <c r="F133" s="504"/>
      <c r="G133" s="504"/>
      <c r="H133" s="504"/>
    </row>
    <row r="134" spans="5:8" s="569" customFormat="1" ht="12" customHeight="1">
      <c r="E134" s="505"/>
      <c r="F134" s="505"/>
      <c r="G134" s="505"/>
      <c r="H134" s="505"/>
    </row>
    <row r="135" spans="5:8" s="569" customFormat="1" ht="12" customHeight="1">
      <c r="E135" s="505"/>
      <c r="F135" s="505"/>
      <c r="G135" s="505"/>
      <c r="H135" s="505"/>
    </row>
    <row r="136" spans="5:8" s="569" customFormat="1" ht="12" customHeight="1">
      <c r="E136" s="505"/>
      <c r="F136" s="505"/>
      <c r="G136" s="505"/>
      <c r="H136" s="505"/>
    </row>
    <row r="137" spans="5:8" s="569" customFormat="1" ht="12" customHeight="1">
      <c r="E137" s="505"/>
      <c r="F137" s="505"/>
      <c r="G137" s="505"/>
      <c r="H137" s="505"/>
    </row>
    <row r="138" spans="5:8" s="569" customFormat="1" ht="12" customHeight="1">
      <c r="E138" s="505"/>
      <c r="F138" s="505"/>
      <c r="G138" s="505"/>
      <c r="H138" s="505"/>
    </row>
    <row r="139" spans="5:8" s="569" customFormat="1" ht="12" customHeight="1">
      <c r="E139" s="505"/>
      <c r="F139" s="505"/>
      <c r="G139" s="505"/>
      <c r="H139" s="505"/>
    </row>
    <row r="140" spans="5:8" s="569" customFormat="1" ht="12" customHeight="1">
      <c r="E140" s="505"/>
      <c r="F140" s="505"/>
      <c r="G140" s="505"/>
      <c r="H140" s="505"/>
    </row>
    <row r="141" spans="5:8" s="569" customFormat="1" ht="12" customHeight="1">
      <c r="E141" s="505"/>
      <c r="F141" s="505"/>
      <c r="G141" s="505"/>
      <c r="H141" s="505"/>
    </row>
    <row r="142" spans="5:8" s="569" customFormat="1" ht="12" customHeight="1">
      <c r="E142" s="505"/>
      <c r="F142" s="505"/>
      <c r="G142" s="505"/>
      <c r="H142" s="505"/>
    </row>
    <row r="143" spans="5:8" s="569" customFormat="1" ht="12" customHeight="1">
      <c r="E143" s="505"/>
      <c r="F143" s="505"/>
      <c r="G143" s="505"/>
      <c r="H143" s="505"/>
    </row>
    <row r="144" spans="5:8" s="569" customFormat="1" ht="12" customHeight="1">
      <c r="E144" s="505"/>
      <c r="F144" s="505"/>
      <c r="G144" s="505"/>
      <c r="H144" s="505"/>
    </row>
    <row r="145" spans="5:8" s="569" customFormat="1" ht="12" customHeight="1">
      <c r="E145" s="505"/>
      <c r="F145" s="505"/>
      <c r="G145" s="505"/>
      <c r="H145" s="505"/>
    </row>
    <row r="146" spans="5:8" s="569" customFormat="1" ht="12" customHeight="1">
      <c r="E146" s="505"/>
      <c r="F146" s="505"/>
      <c r="G146" s="505"/>
      <c r="H146" s="505"/>
    </row>
    <row r="147" spans="5:8" s="569" customFormat="1" ht="12" customHeight="1">
      <c r="E147" s="505"/>
      <c r="F147" s="505"/>
      <c r="G147" s="505"/>
      <c r="H147" s="505"/>
    </row>
    <row r="148" spans="1:8" s="569" customFormat="1" ht="12" customHeight="1">
      <c r="A148" s="505"/>
      <c r="B148" s="504"/>
      <c r="C148" s="504"/>
      <c r="D148" s="504"/>
      <c r="E148" s="505"/>
      <c r="F148" s="505"/>
      <c r="G148" s="505"/>
      <c r="H148" s="505"/>
    </row>
    <row r="149" spans="1:8" s="569" customFormat="1" ht="12" customHeight="1">
      <c r="A149" s="505"/>
      <c r="B149" s="504"/>
      <c r="C149" s="504"/>
      <c r="D149" s="504"/>
      <c r="E149" s="505"/>
      <c r="F149" s="505"/>
      <c r="G149" s="505"/>
      <c r="H149" s="505"/>
    </row>
    <row r="150" spans="1:6" s="569" customFormat="1" ht="12" customHeight="1">
      <c r="A150" s="505"/>
      <c r="B150" s="504"/>
      <c r="C150" s="504"/>
      <c r="D150" s="504"/>
      <c r="E150" s="505"/>
      <c r="F150" s="505"/>
    </row>
    <row r="151" spans="1:8" s="569" customFormat="1" ht="12" customHeight="1">
      <c r="A151" s="505"/>
      <c r="B151" s="504"/>
      <c r="C151" s="504"/>
      <c r="D151" s="504"/>
      <c r="G151" s="505"/>
      <c r="H151" s="505"/>
    </row>
    <row r="152" spans="1:8" s="569" customFormat="1" ht="12" customHeight="1">
      <c r="A152" s="505"/>
      <c r="B152" s="504"/>
      <c r="C152" s="504"/>
      <c r="D152" s="504"/>
      <c r="E152" s="505"/>
      <c r="F152" s="505"/>
      <c r="G152" s="505"/>
      <c r="H152" s="505"/>
    </row>
    <row r="153" spans="1:8" s="569" customFormat="1" ht="12" customHeight="1">
      <c r="A153" s="505"/>
      <c r="B153" s="504"/>
      <c r="C153" s="504"/>
      <c r="D153" s="504"/>
      <c r="E153" s="505"/>
      <c r="F153" s="505"/>
      <c r="G153" s="505"/>
      <c r="H153" s="505"/>
    </row>
    <row r="154" spans="1:8" s="569" customFormat="1" ht="12" customHeight="1">
      <c r="A154" s="505"/>
      <c r="B154" s="504"/>
      <c r="C154" s="504"/>
      <c r="D154" s="504"/>
      <c r="E154" s="505"/>
      <c r="F154" s="505"/>
      <c r="G154" s="505"/>
      <c r="H154" s="505"/>
    </row>
    <row r="155" spans="1:8" s="569" customFormat="1" ht="12" customHeight="1">
      <c r="A155" s="505"/>
      <c r="B155" s="504"/>
      <c r="C155" s="504"/>
      <c r="D155" s="504"/>
      <c r="E155" s="505"/>
      <c r="F155" s="505"/>
      <c r="G155" s="505"/>
      <c r="H155" s="505"/>
    </row>
    <row r="156" spans="1:8" s="569" customFormat="1" ht="12" customHeight="1">
      <c r="A156" s="505"/>
      <c r="B156" s="504"/>
      <c r="C156" s="504"/>
      <c r="D156" s="504"/>
      <c r="E156" s="505"/>
      <c r="F156" s="505"/>
      <c r="G156" s="505"/>
      <c r="H156" s="505"/>
    </row>
    <row r="157" spans="1:8" s="569" customFormat="1" ht="12" customHeight="1">
      <c r="A157" s="505"/>
      <c r="B157" s="504"/>
      <c r="C157" s="504"/>
      <c r="D157" s="504"/>
      <c r="E157" s="505"/>
      <c r="F157" s="505"/>
      <c r="G157" s="505"/>
      <c r="H157" s="505"/>
    </row>
    <row r="158" spans="1:8" s="569" customFormat="1" ht="12" customHeight="1">
      <c r="A158" s="505"/>
      <c r="B158" s="504"/>
      <c r="C158" s="504"/>
      <c r="D158" s="504"/>
      <c r="E158" s="505"/>
      <c r="F158" s="505"/>
      <c r="G158" s="505"/>
      <c r="H158" s="505"/>
    </row>
    <row r="159" spans="2:8" s="569" customFormat="1" ht="12" customHeight="1">
      <c r="B159" s="504"/>
      <c r="C159" s="504"/>
      <c r="D159" s="504"/>
      <c r="E159" s="505"/>
      <c r="F159" s="505"/>
      <c r="G159" s="505"/>
      <c r="H159" s="505"/>
    </row>
    <row r="160" spans="2:8" s="569" customFormat="1" ht="12" customHeight="1">
      <c r="B160" s="504"/>
      <c r="C160" s="504"/>
      <c r="D160" s="504"/>
      <c r="E160" s="505"/>
      <c r="F160" s="505"/>
      <c r="G160" s="505"/>
      <c r="H160" s="505"/>
    </row>
    <row r="161" spans="2:8" s="569" customFormat="1" ht="12" customHeight="1">
      <c r="B161" s="504"/>
      <c r="C161" s="504"/>
      <c r="D161" s="504"/>
      <c r="E161" s="505"/>
      <c r="F161" s="505"/>
      <c r="G161" s="505"/>
      <c r="H161" s="505"/>
    </row>
    <row r="162" spans="2:8" s="569" customFormat="1" ht="12" customHeight="1">
      <c r="B162" s="504"/>
      <c r="C162" s="504"/>
      <c r="D162" s="504"/>
      <c r="E162" s="505"/>
      <c r="F162" s="505"/>
      <c r="G162" s="505"/>
      <c r="H162" s="505"/>
    </row>
    <row r="163" spans="2:8" s="569" customFormat="1" ht="12" customHeight="1">
      <c r="B163" s="504"/>
      <c r="C163" s="504"/>
      <c r="D163" s="504"/>
      <c r="E163" s="505"/>
      <c r="F163" s="505"/>
      <c r="G163" s="505"/>
      <c r="H163" s="505"/>
    </row>
    <row r="164" spans="2:8" s="569" customFormat="1" ht="12" customHeight="1">
      <c r="B164" s="504"/>
      <c r="C164" s="504"/>
      <c r="D164" s="504"/>
      <c r="E164" s="505"/>
      <c r="F164" s="505"/>
      <c r="G164" s="505"/>
      <c r="H164" s="505"/>
    </row>
    <row r="165" spans="2:8" s="569" customFormat="1" ht="12" customHeight="1">
      <c r="B165" s="504"/>
      <c r="C165" s="504"/>
      <c r="D165" s="504"/>
      <c r="E165" s="505"/>
      <c r="F165" s="505"/>
      <c r="G165" s="505"/>
      <c r="H165" s="505"/>
    </row>
    <row r="166" spans="2:8" s="569" customFormat="1" ht="12" customHeight="1">
      <c r="B166" s="504"/>
      <c r="C166" s="504"/>
      <c r="D166" s="504"/>
      <c r="E166" s="505"/>
      <c r="F166" s="505"/>
      <c r="G166" s="505"/>
      <c r="H166" s="505"/>
    </row>
    <row r="167" spans="2:8" s="569" customFormat="1" ht="12" customHeight="1">
      <c r="B167" s="504"/>
      <c r="C167" s="504"/>
      <c r="D167" s="504"/>
      <c r="E167" s="505"/>
      <c r="F167" s="505"/>
      <c r="G167" s="505"/>
      <c r="H167" s="505"/>
    </row>
    <row r="168" spans="2:8" s="569" customFormat="1" ht="12" customHeight="1">
      <c r="B168" s="504"/>
      <c r="C168" s="504"/>
      <c r="D168" s="504"/>
      <c r="E168" s="505"/>
      <c r="F168" s="505"/>
      <c r="G168" s="505"/>
      <c r="H168" s="505"/>
    </row>
    <row r="169" spans="2:8" s="569" customFormat="1" ht="12" customHeight="1">
      <c r="B169" s="504"/>
      <c r="C169" s="504"/>
      <c r="D169" s="504"/>
      <c r="E169" s="505"/>
      <c r="F169" s="505"/>
      <c r="G169" s="505"/>
      <c r="H169" s="505"/>
    </row>
    <row r="170" spans="2:8" s="569" customFormat="1" ht="12" customHeight="1">
      <c r="B170" s="504"/>
      <c r="C170" s="504"/>
      <c r="D170" s="504"/>
      <c r="E170" s="505"/>
      <c r="F170" s="505"/>
      <c r="G170" s="505"/>
      <c r="H170" s="505"/>
    </row>
    <row r="171" spans="2:8" s="569" customFormat="1" ht="12" customHeight="1">
      <c r="B171" s="504"/>
      <c r="C171" s="504"/>
      <c r="D171" s="504"/>
      <c r="E171" s="505"/>
      <c r="F171" s="505"/>
      <c r="G171" s="505"/>
      <c r="H171" s="505"/>
    </row>
    <row r="172" spans="2:8" s="569" customFormat="1" ht="12" customHeight="1">
      <c r="B172" s="504"/>
      <c r="C172" s="504"/>
      <c r="D172" s="504"/>
      <c r="E172" s="505"/>
      <c r="F172" s="505"/>
      <c r="G172" s="505"/>
      <c r="H172" s="505"/>
    </row>
    <row r="173" spans="2:8" s="569" customFormat="1" ht="12" customHeight="1">
      <c r="B173" s="504"/>
      <c r="C173" s="504"/>
      <c r="D173" s="504"/>
      <c r="E173" s="505"/>
      <c r="F173" s="505"/>
      <c r="G173" s="505"/>
      <c r="H173" s="505"/>
    </row>
    <row r="174" spans="1:8" s="569" customFormat="1" ht="12" customHeight="1">
      <c r="A174" s="505"/>
      <c r="E174" s="505"/>
      <c r="F174" s="505"/>
      <c r="G174" s="505"/>
      <c r="H174" s="505"/>
    </row>
    <row r="175" spans="1:4" s="569" customFormat="1" ht="12" customHeight="1">
      <c r="A175" s="505"/>
      <c r="B175" s="505"/>
      <c r="C175" s="505"/>
      <c r="D175" s="505"/>
    </row>
    <row r="176" spans="1:4" s="569" customFormat="1" ht="12" customHeight="1">
      <c r="A176" s="505"/>
      <c r="B176" s="504"/>
      <c r="C176" s="504"/>
      <c r="D176" s="504"/>
    </row>
    <row r="177" s="569" customFormat="1" ht="12" customHeight="1"/>
    <row r="178" s="569" customFormat="1" ht="12" customHeight="1"/>
    <row r="179" s="569" customFormat="1" ht="12" customHeight="1"/>
    <row r="180" s="569" customFormat="1" ht="12" customHeight="1"/>
    <row r="181" s="569" customFormat="1" ht="12" customHeight="1"/>
    <row r="182" s="569" customFormat="1" ht="12" customHeight="1"/>
    <row r="183" s="569" customFormat="1" ht="12" customHeight="1"/>
    <row r="184" s="569" customFormat="1" ht="12" customHeight="1"/>
    <row r="185" s="569" customFormat="1" ht="12" customHeight="1"/>
    <row r="186" s="569" customFormat="1" ht="12" customHeight="1"/>
    <row r="187" s="569" customFormat="1" ht="12" customHeight="1"/>
    <row r="188" s="569" customFormat="1" ht="12" customHeight="1"/>
    <row r="189" s="569" customFormat="1" ht="12" customHeight="1"/>
    <row r="190" s="569" customFormat="1" ht="12" customHeight="1"/>
    <row r="191" s="569" customFormat="1" ht="12" customHeight="1"/>
    <row r="192" s="569" customFormat="1" ht="12" customHeight="1"/>
    <row r="193" s="569" customFormat="1" ht="12" customHeight="1"/>
    <row r="194" s="569" customFormat="1" ht="12" customHeight="1"/>
    <row r="195" s="569" customFormat="1" ht="12" customHeight="1"/>
    <row r="196" s="569" customFormat="1" ht="12" customHeight="1"/>
    <row r="197" s="569" customFormat="1" ht="12" customHeight="1"/>
    <row r="198" s="569" customFormat="1" ht="12" customHeight="1"/>
    <row r="199" s="569" customFormat="1" ht="12" customHeight="1"/>
    <row r="200" s="569" customFormat="1" ht="12" customHeight="1"/>
    <row r="201" s="569" customFormat="1" ht="12" customHeight="1"/>
    <row r="202" s="569" customFormat="1" ht="12" customHeight="1"/>
    <row r="203" s="569" customFormat="1" ht="12" customHeight="1"/>
    <row r="204" s="569" customFormat="1" ht="12" customHeight="1"/>
    <row r="205" s="569" customFormat="1" ht="12" customHeight="1"/>
    <row r="206" s="569" customFormat="1" ht="12" customHeight="1"/>
    <row r="207" s="569" customFormat="1" ht="12" customHeight="1"/>
    <row r="208" s="569" customFormat="1" ht="12" customHeight="1"/>
    <row r="209" s="569" customFormat="1" ht="12" customHeight="1"/>
    <row r="210" s="569" customFormat="1" ht="12" customHeight="1"/>
    <row r="211" s="569" customFormat="1" ht="12" customHeight="1"/>
    <row r="212" s="569" customFormat="1" ht="12" customHeight="1"/>
    <row r="213" s="569" customFormat="1" ht="12" customHeight="1"/>
    <row r="214" s="569" customFormat="1" ht="12" customHeight="1"/>
    <row r="215" s="569" customFormat="1" ht="12" customHeight="1"/>
    <row r="216" s="569" customFormat="1" ht="12" customHeight="1"/>
    <row r="217" s="569" customFormat="1" ht="12" customHeight="1"/>
    <row r="218" s="569" customFormat="1" ht="12" customHeight="1"/>
    <row r="219" s="569" customFormat="1" ht="12" customHeight="1"/>
    <row r="220" s="569" customFormat="1" ht="12" customHeight="1"/>
    <row r="221" s="569" customFormat="1" ht="12" customHeight="1"/>
    <row r="222" s="569" customFormat="1" ht="12" customHeight="1"/>
    <row r="223" s="569" customFormat="1" ht="12" customHeight="1"/>
    <row r="224" s="569" customFormat="1" ht="12" customHeight="1"/>
    <row r="225" s="569" customFormat="1" ht="12" customHeight="1"/>
    <row r="226" s="569" customFormat="1" ht="12" customHeight="1"/>
    <row r="227" s="569" customFormat="1" ht="12" customHeight="1"/>
    <row r="228" s="569" customFormat="1" ht="12" customHeight="1"/>
    <row r="229" s="569" customFormat="1" ht="12" customHeight="1"/>
    <row r="230" s="569" customFormat="1" ht="12" customHeight="1"/>
    <row r="231" s="569" customFormat="1" ht="12" customHeight="1"/>
    <row r="232" s="569" customFormat="1" ht="12" customHeight="1"/>
    <row r="233" s="569" customFormat="1" ht="12" customHeight="1"/>
    <row r="234" s="569" customFormat="1" ht="12" customHeight="1"/>
    <row r="235" s="569" customFormat="1" ht="12" customHeight="1"/>
    <row r="236" s="569" customFormat="1" ht="12" customHeight="1"/>
    <row r="237" s="569" customFormat="1" ht="12" customHeight="1"/>
    <row r="238" s="569" customFormat="1" ht="12" customHeight="1"/>
    <row r="239" s="569" customFormat="1" ht="12" customHeight="1"/>
    <row r="240" s="569" customFormat="1" ht="12" customHeight="1"/>
    <row r="241" s="569" customFormat="1" ht="12" customHeight="1"/>
    <row r="242" s="569" customFormat="1" ht="12" customHeight="1"/>
    <row r="243" s="569" customFormat="1" ht="12" customHeight="1"/>
    <row r="244" s="569" customFormat="1" ht="12" customHeight="1"/>
    <row r="245" s="569" customFormat="1" ht="12" customHeight="1"/>
    <row r="246" s="569" customFormat="1" ht="12" customHeight="1"/>
    <row r="247" s="569" customFormat="1" ht="12" customHeight="1"/>
    <row r="248" s="569" customFormat="1" ht="12" customHeight="1"/>
    <row r="249" s="569" customFormat="1" ht="12" customHeight="1"/>
    <row r="250" s="569" customFormat="1" ht="12" customHeight="1"/>
    <row r="251" s="569" customFormat="1" ht="12" customHeight="1"/>
    <row r="252" s="569" customFormat="1" ht="12" customHeight="1"/>
    <row r="253" s="569" customFormat="1" ht="12" customHeight="1"/>
    <row r="254" s="569" customFormat="1" ht="12" customHeight="1"/>
    <row r="255" s="569" customFormat="1" ht="12" customHeight="1"/>
    <row r="256" s="569" customFormat="1" ht="12" customHeight="1"/>
    <row r="257" s="569" customFormat="1" ht="12" customHeight="1"/>
    <row r="258" s="569" customFormat="1" ht="12" customHeight="1"/>
    <row r="259" s="569" customFormat="1" ht="12" customHeight="1"/>
    <row r="260" s="569" customFormat="1" ht="12" customHeight="1"/>
    <row r="261" s="569" customFormat="1" ht="12" customHeight="1"/>
    <row r="262" s="569" customFormat="1" ht="12" customHeight="1"/>
    <row r="263" s="569" customFormat="1" ht="12" customHeight="1"/>
    <row r="264" s="569" customFormat="1" ht="12" customHeight="1"/>
    <row r="265" s="569" customFormat="1" ht="12" customHeight="1"/>
    <row r="266" s="569" customFormat="1" ht="12" customHeight="1"/>
    <row r="267" s="569" customFormat="1" ht="12" customHeight="1"/>
    <row r="268" s="569" customFormat="1" ht="12" customHeight="1"/>
    <row r="269" s="569" customFormat="1" ht="12" customHeight="1"/>
    <row r="270" s="569" customFormat="1" ht="12" customHeight="1"/>
    <row r="271" s="569" customFormat="1" ht="12" customHeight="1"/>
    <row r="272" s="569" customFormat="1" ht="12" customHeight="1"/>
    <row r="273" s="569" customFormat="1" ht="12" customHeight="1"/>
    <row r="274" s="569" customFormat="1" ht="12" customHeight="1"/>
    <row r="275" s="569" customFormat="1" ht="12" customHeight="1"/>
    <row r="276" s="569" customFormat="1" ht="12" customHeight="1"/>
    <row r="277" s="569" customFormat="1" ht="12" customHeight="1"/>
    <row r="278" s="569" customFormat="1" ht="12" customHeight="1"/>
    <row r="279" s="569" customFormat="1" ht="12" customHeight="1"/>
    <row r="280" s="569" customFormat="1" ht="12" customHeight="1"/>
    <row r="281" s="569" customFormat="1" ht="12" customHeight="1"/>
    <row r="282" s="569" customFormat="1" ht="12" customHeight="1"/>
    <row r="283" s="569" customFormat="1" ht="12" customHeight="1"/>
    <row r="284" s="569" customFormat="1" ht="12" customHeight="1"/>
    <row r="285" s="569" customFormat="1" ht="12" customHeight="1"/>
    <row r="286" s="569" customFormat="1" ht="12" customHeight="1"/>
    <row r="287" s="569" customFormat="1" ht="12" customHeight="1"/>
    <row r="288" s="569" customFormat="1" ht="12" customHeight="1"/>
    <row r="289" s="569" customFormat="1" ht="12" customHeight="1"/>
    <row r="290" s="569" customFormat="1" ht="12" customHeight="1"/>
    <row r="291" s="569" customFormat="1" ht="12" customHeight="1"/>
    <row r="292" s="569" customFormat="1" ht="12" customHeight="1"/>
  </sheetData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&amp;LSKI&amp;C&amp;A&amp;R&amp;D</oddHeader>
    <oddFooter>&amp;C&amp;F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4"/>
  <dimension ref="A1:Q61"/>
  <sheetViews>
    <sheetView workbookViewId="0" topLeftCell="A1">
      <selection activeCell="G24" sqref="G24"/>
    </sheetView>
  </sheetViews>
  <sheetFormatPr defaultColWidth="11.421875" defaultRowHeight="12.75"/>
  <cols>
    <col min="1" max="1" width="6.140625" style="264" customWidth="1"/>
    <col min="2" max="2" width="5.57421875" style="264" customWidth="1"/>
    <col min="3" max="3" width="9.8515625" style="264" customWidth="1"/>
    <col min="4" max="4" width="10.28125" style="264" customWidth="1"/>
    <col min="5" max="5" width="10.140625" style="264" customWidth="1"/>
    <col min="6" max="6" width="9.28125" style="264" customWidth="1"/>
    <col min="7" max="8" width="10.28125" style="264" customWidth="1"/>
    <col min="9" max="9" width="8.421875" style="264" customWidth="1"/>
    <col min="10" max="10" width="0" style="264" hidden="1" customWidth="1"/>
    <col min="11" max="11" width="7.140625" style="264" customWidth="1"/>
    <col min="12" max="12" width="9.00390625" style="264" customWidth="1"/>
    <col min="13" max="13" width="10.28125" style="264" customWidth="1"/>
    <col min="14" max="14" width="9.421875" style="264" customWidth="1"/>
    <col min="15" max="15" width="7.7109375" style="264" customWidth="1"/>
    <col min="16" max="16" width="7.57421875" style="264" customWidth="1"/>
    <col min="17" max="17" width="9.421875" style="264" customWidth="1"/>
    <col min="18" max="16384" width="11.421875" style="264" customWidth="1"/>
  </cols>
  <sheetData>
    <row r="1" spans="1:17" ht="31.5" customHeight="1">
      <c r="A1" s="261" t="s">
        <v>380</v>
      </c>
      <c r="B1" s="261"/>
      <c r="C1" s="261"/>
      <c r="D1" s="261"/>
      <c r="E1" s="261"/>
      <c r="F1" s="261"/>
      <c r="G1" s="261"/>
      <c r="H1" s="261"/>
      <c r="I1" s="261" t="s">
        <v>381</v>
      </c>
      <c r="J1" s="262"/>
      <c r="K1" s="262"/>
      <c r="L1" s="262"/>
      <c r="M1" s="262"/>
      <c r="N1" s="263" t="s">
        <v>382</v>
      </c>
      <c r="O1" s="261"/>
      <c r="P1" s="262"/>
      <c r="Q1" s="262"/>
    </row>
    <row r="2" spans="1:17" ht="20.25" customHeight="1">
      <c r="A2" s="265" t="s">
        <v>473</v>
      </c>
      <c r="B2" s="266"/>
      <c r="C2" s="266"/>
      <c r="D2" s="266"/>
      <c r="E2" s="267"/>
      <c r="G2" s="267"/>
      <c r="H2" s="267"/>
      <c r="I2" s="268"/>
      <c r="J2" s="267" t="s">
        <v>383</v>
      </c>
      <c r="K2" s="266"/>
      <c r="L2" s="266"/>
      <c r="M2" s="266"/>
      <c r="N2" s="269" t="s">
        <v>384</v>
      </c>
      <c r="O2" s="266"/>
      <c r="P2" s="640">
        <v>35853</v>
      </c>
      <c r="Q2" s="614"/>
    </row>
    <row r="3" spans="1:15" ht="13.5" customHeight="1">
      <c r="A3" s="264" t="s">
        <v>385</v>
      </c>
      <c r="G3" s="270"/>
      <c r="H3" s="270"/>
      <c r="I3" s="271"/>
      <c r="J3" s="271"/>
      <c r="K3" s="271"/>
      <c r="L3" s="271"/>
      <c r="M3" s="272"/>
      <c r="N3" s="273" t="s">
        <v>386</v>
      </c>
      <c r="O3" s="265"/>
    </row>
    <row r="4" spans="1:14" s="275" customFormat="1" ht="9.75" customHeight="1">
      <c r="A4" s="274"/>
      <c r="F4" s="275" t="s">
        <v>387</v>
      </c>
      <c r="G4" s="276" t="s">
        <v>388</v>
      </c>
      <c r="H4" s="277" t="s">
        <v>389</v>
      </c>
      <c r="I4" s="278" t="s">
        <v>389</v>
      </c>
      <c r="J4" s="275"/>
      <c r="K4" s="279" t="s">
        <v>390</v>
      </c>
      <c r="L4" s="280" t="s">
        <v>391</v>
      </c>
      <c r="M4" s="280" t="s">
        <v>43</v>
      </c>
      <c r="N4" s="281"/>
    </row>
    <row r="5" spans="1:14" s="275" customFormat="1" ht="9.75" customHeight="1">
      <c r="A5" s="274"/>
      <c r="C5" s="282"/>
      <c r="F5" s="275" t="s">
        <v>392</v>
      </c>
      <c r="G5" s="283" t="s">
        <v>393</v>
      </c>
      <c r="H5" s="284" t="s">
        <v>394</v>
      </c>
      <c r="I5" s="285" t="s">
        <v>71</v>
      </c>
      <c r="J5" s="275"/>
      <c r="K5" s="275" t="s">
        <v>395</v>
      </c>
      <c r="L5" s="275" t="s">
        <v>396</v>
      </c>
      <c r="M5" s="280" t="s">
        <v>397</v>
      </c>
      <c r="N5" s="276"/>
    </row>
    <row r="6" spans="1:14" s="275" customFormat="1" ht="9.75" customHeight="1">
      <c r="A6" s="274"/>
      <c r="B6" s="275" t="s">
        <v>335</v>
      </c>
      <c r="C6" s="286" t="s">
        <v>398</v>
      </c>
      <c r="D6" s="286" t="s">
        <v>399</v>
      </c>
      <c r="E6" s="286" t="s">
        <v>400</v>
      </c>
      <c r="F6" s="275" t="s">
        <v>401</v>
      </c>
      <c r="G6" s="287" t="s">
        <v>402</v>
      </c>
      <c r="H6" s="280"/>
      <c r="I6" s="288"/>
      <c r="J6" s="275" t="s">
        <v>403</v>
      </c>
      <c r="K6" s="289" t="s">
        <v>404</v>
      </c>
      <c r="L6" s="275"/>
      <c r="M6" s="290" t="s">
        <v>405</v>
      </c>
      <c r="N6" s="276"/>
    </row>
    <row r="7" spans="1:15" s="275" customFormat="1" ht="9.75" customHeight="1">
      <c r="A7" s="274"/>
      <c r="B7" s="291"/>
      <c r="C7" s="292"/>
      <c r="D7" s="277"/>
      <c r="E7" s="293"/>
      <c r="F7" s="294" t="s">
        <v>365</v>
      </c>
      <c r="G7" s="283" t="s">
        <v>406</v>
      </c>
      <c r="H7" s="284" t="s">
        <v>194</v>
      </c>
      <c r="I7" s="295" t="s">
        <v>71</v>
      </c>
      <c r="J7" s="296"/>
      <c r="K7" s="295" t="s">
        <v>407</v>
      </c>
      <c r="L7" s="296"/>
      <c r="M7" s="297" t="s">
        <v>408</v>
      </c>
      <c r="N7" s="283" t="s">
        <v>386</v>
      </c>
      <c r="O7" s="280"/>
    </row>
    <row r="8" spans="1:17" s="275" customFormat="1" ht="9.75" customHeight="1">
      <c r="A8" s="274"/>
      <c r="B8" s="298" t="s">
        <v>409</v>
      </c>
      <c r="C8" s="290"/>
      <c r="D8" s="277"/>
      <c r="E8" s="290"/>
      <c r="F8" s="299"/>
      <c r="G8" s="300"/>
      <c r="H8" s="290"/>
      <c r="I8" s="297"/>
      <c r="J8" s="290"/>
      <c r="K8" s="290"/>
      <c r="L8" s="290"/>
      <c r="M8" s="301">
        <v>262521</v>
      </c>
      <c r="N8" s="276"/>
      <c r="Q8" s="277"/>
    </row>
    <row r="9" spans="1:17" s="275" customFormat="1" ht="9.75" customHeight="1">
      <c r="A9" s="274"/>
      <c r="B9" s="286">
        <v>6</v>
      </c>
      <c r="C9" s="302"/>
      <c r="D9" s="290"/>
      <c r="E9" s="290"/>
      <c r="F9" s="290"/>
      <c r="G9" s="300"/>
      <c r="H9" s="290"/>
      <c r="I9" s="297"/>
      <c r="J9" s="290"/>
      <c r="K9" s="297"/>
      <c r="L9" s="297"/>
      <c r="N9" s="303" t="s">
        <v>410</v>
      </c>
      <c r="O9" s="304" t="s">
        <v>411</v>
      </c>
      <c r="P9" s="304" t="s">
        <v>412</v>
      </c>
      <c r="Q9" s="304" t="s">
        <v>413</v>
      </c>
    </row>
    <row r="10" spans="1:17" s="275" customFormat="1" ht="9.75" customHeight="1">
      <c r="A10" s="274"/>
      <c r="B10" s="305" t="s">
        <v>157</v>
      </c>
      <c r="C10" s="306">
        <v>18795</v>
      </c>
      <c r="D10" s="307">
        <v>3772</v>
      </c>
      <c r="E10" s="308">
        <f>C10-D10</f>
        <v>15023</v>
      </c>
      <c r="F10" s="309">
        <v>0</v>
      </c>
      <c r="G10" s="310">
        <f>E10-F10</f>
        <v>15023</v>
      </c>
      <c r="H10" s="311">
        <v>1657</v>
      </c>
      <c r="I10" s="306">
        <v>1258</v>
      </c>
      <c r="J10" s="306"/>
      <c r="L10" s="309">
        <f>P11</f>
        <v>6295</v>
      </c>
      <c r="M10" s="312"/>
      <c r="N10" s="313">
        <v>11243</v>
      </c>
      <c r="O10" s="314">
        <v>0</v>
      </c>
      <c r="P10" s="315">
        <v>0</v>
      </c>
      <c r="Q10" s="316">
        <f>N10+O10-P10</f>
        <v>11243</v>
      </c>
    </row>
    <row r="11" spans="1:17" s="275" customFormat="1" ht="9.75" customHeight="1">
      <c r="A11" s="274"/>
      <c r="B11" s="275" t="s">
        <v>214</v>
      </c>
      <c r="C11" s="317">
        <v>37649</v>
      </c>
      <c r="D11" s="309">
        <v>3710</v>
      </c>
      <c r="E11" s="308">
        <f>C11-D11</f>
        <v>33939</v>
      </c>
      <c r="F11" s="317"/>
      <c r="G11" s="310">
        <f>E11</f>
        <v>33939</v>
      </c>
      <c r="H11" s="311"/>
      <c r="I11" s="318"/>
      <c r="J11" s="319"/>
      <c r="K11" s="318"/>
      <c r="L11" s="318"/>
      <c r="M11" s="312"/>
      <c r="N11" s="320">
        <f>Q10</f>
        <v>11243</v>
      </c>
      <c r="O11" s="309">
        <v>0</v>
      </c>
      <c r="P11" s="317">
        <v>6295</v>
      </c>
      <c r="Q11" s="292">
        <f>N11+O11-P11</f>
        <v>4948</v>
      </c>
    </row>
    <row r="12" spans="1:17" s="275" customFormat="1" ht="9.75" customHeight="1">
      <c r="A12" s="274"/>
      <c r="B12" s="321"/>
      <c r="C12" s="314"/>
      <c r="D12" s="314"/>
      <c r="E12" s="315"/>
      <c r="F12" s="314"/>
      <c r="G12" s="322">
        <f>E12</f>
        <v>0</v>
      </c>
      <c r="H12" s="323"/>
      <c r="I12" s="324"/>
      <c r="J12" s="325"/>
      <c r="K12" s="323"/>
      <c r="L12" s="314"/>
      <c r="M12" s="326">
        <f>G10+H10+I10+L10+G11</f>
        <v>58172</v>
      </c>
      <c r="N12" s="327">
        <f>Q11</f>
        <v>4948</v>
      </c>
      <c r="O12" s="317">
        <v>0</v>
      </c>
      <c r="P12" s="317">
        <v>0</v>
      </c>
      <c r="Q12" s="292">
        <f>N12+O12-P12</f>
        <v>4948</v>
      </c>
    </row>
    <row r="13" spans="1:17" s="275" customFormat="1" ht="9.75" customHeight="1">
      <c r="A13" s="274"/>
      <c r="B13" s="286">
        <v>7</v>
      </c>
      <c r="C13" s="317"/>
      <c r="D13" s="317"/>
      <c r="E13" s="317"/>
      <c r="F13" s="318"/>
      <c r="G13" s="310"/>
      <c r="H13" s="311"/>
      <c r="I13" s="318"/>
      <c r="J13" s="328"/>
      <c r="K13" s="328"/>
      <c r="L13" s="328"/>
      <c r="M13" s="312"/>
      <c r="N13" s="329">
        <v>0</v>
      </c>
      <c r="O13" s="309">
        <v>0</v>
      </c>
      <c r="P13" s="317">
        <v>0</v>
      </c>
      <c r="Q13" s="292">
        <f>N13+O13-P13</f>
        <v>0</v>
      </c>
    </row>
    <row r="14" spans="1:17" s="275" customFormat="1" ht="9.75" customHeight="1">
      <c r="A14" s="274"/>
      <c r="B14" s="275" t="s">
        <v>414</v>
      </c>
      <c r="C14" s="309">
        <v>6716</v>
      </c>
      <c r="D14" s="309">
        <v>1819</v>
      </c>
      <c r="E14" s="317">
        <f>C14-D14</f>
        <v>4897</v>
      </c>
      <c r="F14" s="309"/>
      <c r="G14" s="310">
        <f>E14</f>
        <v>4897</v>
      </c>
      <c r="H14" s="311"/>
      <c r="I14" s="306"/>
      <c r="J14" s="309"/>
      <c r="K14" s="309">
        <v>1419</v>
      </c>
      <c r="L14" s="309"/>
      <c r="M14" s="312"/>
      <c r="N14" s="330">
        <f>Q13</f>
        <v>0</v>
      </c>
      <c r="O14" s="315"/>
      <c r="P14" s="331">
        <v>0</v>
      </c>
      <c r="Q14" s="324">
        <f>N14+O14-P14</f>
        <v>0</v>
      </c>
    </row>
    <row r="15" spans="1:14" s="275" customFormat="1" ht="9.75" customHeight="1">
      <c r="A15" s="274"/>
      <c r="B15" s="321" t="s">
        <v>214</v>
      </c>
      <c r="C15" s="315">
        <v>69045</v>
      </c>
      <c r="D15" s="315">
        <v>5635</v>
      </c>
      <c r="E15" s="315">
        <f>C15-D15</f>
        <v>63410</v>
      </c>
      <c r="F15" s="315"/>
      <c r="G15" s="322">
        <f>E15</f>
        <v>63410</v>
      </c>
      <c r="H15" s="323"/>
      <c r="I15" s="324"/>
      <c r="J15" s="325"/>
      <c r="K15" s="325"/>
      <c r="L15" s="325"/>
      <c r="M15" s="326">
        <f>G14+K14+G15</f>
        <v>69726</v>
      </c>
      <c r="N15" s="276"/>
    </row>
    <row r="16" spans="1:17" s="275" customFormat="1" ht="9.75" customHeight="1">
      <c r="A16" s="274"/>
      <c r="B16" s="286">
        <v>8</v>
      </c>
      <c r="C16" s="317"/>
      <c r="D16" s="317"/>
      <c r="E16" s="317"/>
      <c r="F16" s="317"/>
      <c r="G16" s="310"/>
      <c r="H16" s="311"/>
      <c r="I16" s="318"/>
      <c r="J16" s="319"/>
      <c r="K16" s="319"/>
      <c r="L16" s="319"/>
      <c r="M16" s="332"/>
      <c r="N16" s="329"/>
      <c r="O16" s="309"/>
      <c r="P16" s="309"/>
      <c r="Q16" s="292"/>
    </row>
    <row r="17" spans="1:17" s="275" customFormat="1" ht="9.75" customHeight="1">
      <c r="A17" s="274"/>
      <c r="B17" s="275" t="s">
        <v>414</v>
      </c>
      <c r="C17" s="309">
        <v>37121</v>
      </c>
      <c r="D17" s="309">
        <v>2440</v>
      </c>
      <c r="E17" s="309">
        <f>C17-D17</f>
        <v>34681</v>
      </c>
      <c r="F17" s="309"/>
      <c r="G17" s="329">
        <f>E17</f>
        <v>34681</v>
      </c>
      <c r="H17" s="302">
        <f>730+541+558</f>
        <v>1829</v>
      </c>
      <c r="I17" s="306"/>
      <c r="J17" s="309"/>
      <c r="K17" s="309">
        <v>2892</v>
      </c>
      <c r="L17" s="309"/>
      <c r="M17" s="309"/>
      <c r="N17" s="330">
        <f>Q12</f>
        <v>4948</v>
      </c>
      <c r="O17" s="315">
        <v>0</v>
      </c>
      <c r="P17" s="315">
        <v>0</v>
      </c>
      <c r="Q17" s="324">
        <f>N17+O17-P17</f>
        <v>4948</v>
      </c>
    </row>
    <row r="18" spans="1:17" s="275" customFormat="1" ht="9.75" customHeight="1">
      <c r="A18" s="274"/>
      <c r="B18" s="286"/>
      <c r="C18" s="309"/>
      <c r="D18" s="309"/>
      <c r="E18" s="309"/>
      <c r="F18" s="309"/>
      <c r="G18" s="329"/>
      <c r="H18" s="302"/>
      <c r="I18" s="306"/>
      <c r="J18" s="309"/>
      <c r="K18" s="309"/>
      <c r="L18" s="309"/>
      <c r="M18" s="309"/>
      <c r="N18" s="327"/>
      <c r="O18" s="317"/>
      <c r="P18" s="317"/>
      <c r="Q18" s="292">
        <f>N18+O18-P18</f>
        <v>0</v>
      </c>
    </row>
    <row r="19" spans="1:17" s="275" customFormat="1" ht="9.75" customHeight="1">
      <c r="A19" s="274"/>
      <c r="B19" s="321" t="s">
        <v>214</v>
      </c>
      <c r="C19" s="42">
        <f>23084+15395</f>
        <v>38479</v>
      </c>
      <c r="D19" s="42">
        <v>2070</v>
      </c>
      <c r="E19" s="42">
        <f>C19-D19</f>
        <v>36409</v>
      </c>
      <c r="F19" s="333"/>
      <c r="G19" s="334">
        <f>E19</f>
        <v>36409</v>
      </c>
      <c r="H19" s="314"/>
      <c r="I19" s="323"/>
      <c r="J19" s="314"/>
      <c r="K19" s="314"/>
      <c r="L19" s="314"/>
      <c r="M19" s="326">
        <f>G17+G19+H17+K17</f>
        <v>75811</v>
      </c>
      <c r="N19" s="329"/>
      <c r="O19" s="309"/>
      <c r="P19" s="309"/>
      <c r="Q19" s="292">
        <f>N19+O19-P19</f>
        <v>0</v>
      </c>
    </row>
    <row r="20" spans="1:17" s="275" customFormat="1" ht="9.75" customHeight="1">
      <c r="A20" s="274"/>
      <c r="B20" s="286">
        <v>9</v>
      </c>
      <c r="C20" s="317"/>
      <c r="D20" s="317"/>
      <c r="E20" s="45"/>
      <c r="F20" s="317"/>
      <c r="G20" s="335"/>
      <c r="N20" s="329"/>
      <c r="O20" s="309"/>
      <c r="P20" s="309"/>
      <c r="Q20" s="292">
        <f>N20+O20-P20</f>
        <v>0</v>
      </c>
    </row>
    <row r="21" spans="1:17" s="275" customFormat="1" ht="9.75" customHeight="1">
      <c r="A21" s="274"/>
      <c r="B21" s="275" t="s">
        <v>414</v>
      </c>
      <c r="C21" s="317">
        <v>23804</v>
      </c>
      <c r="D21" s="317">
        <v>1324</v>
      </c>
      <c r="E21" s="45">
        <f>C21-D21</f>
        <v>22480</v>
      </c>
      <c r="F21" s="317"/>
      <c r="G21" s="329">
        <f>E21</f>
        <v>22480</v>
      </c>
      <c r="H21" s="275">
        <v>1796</v>
      </c>
      <c r="N21" s="336">
        <f>Q17</f>
        <v>4948</v>
      </c>
      <c r="O21" s="314"/>
      <c r="P21" s="314"/>
      <c r="Q21" s="324">
        <f>N21+O21-P21</f>
        <v>4948</v>
      </c>
    </row>
    <row r="22" spans="1:17" s="275" customFormat="1" ht="9.75" customHeight="1">
      <c r="A22" s="274"/>
      <c r="C22" s="317"/>
      <c r="D22" s="317"/>
      <c r="E22" s="45"/>
      <c r="F22" s="317"/>
      <c r="G22" s="276"/>
      <c r="H22" s="302"/>
      <c r="I22" s="306"/>
      <c r="J22" s="309"/>
      <c r="K22" s="309"/>
      <c r="L22" s="309"/>
      <c r="N22" s="329"/>
      <c r="O22" s="309"/>
      <c r="P22" s="309"/>
      <c r="Q22" s="306"/>
    </row>
    <row r="23" spans="1:17" s="275" customFormat="1" ht="9.75" customHeight="1">
      <c r="A23" s="274"/>
      <c r="B23" s="275" t="s">
        <v>214</v>
      </c>
      <c r="C23" s="317">
        <v>24102</v>
      </c>
      <c r="D23" s="317">
        <v>2962</v>
      </c>
      <c r="E23" s="45">
        <f>C23-D23</f>
        <v>21140</v>
      </c>
      <c r="F23" s="317"/>
      <c r="G23" s="329">
        <f>E23</f>
        <v>21140</v>
      </c>
      <c r="H23" s="302"/>
      <c r="I23" s="306"/>
      <c r="J23" s="309"/>
      <c r="K23" s="309"/>
      <c r="L23" s="309"/>
      <c r="M23" s="312">
        <f>G21+G23+H21</f>
        <v>45416</v>
      </c>
      <c r="N23" s="329"/>
      <c r="O23" s="309"/>
      <c r="P23" s="309"/>
      <c r="Q23" s="306"/>
    </row>
    <row r="24" spans="1:17" s="275" customFormat="1" ht="9.75" customHeight="1">
      <c r="A24" s="274"/>
      <c r="C24" s="317"/>
      <c r="D24" s="317"/>
      <c r="E24" s="317"/>
      <c r="F24" s="317"/>
      <c r="G24" s="329"/>
      <c r="H24" s="302"/>
      <c r="I24" s="306"/>
      <c r="J24" s="309"/>
      <c r="K24" s="309"/>
      <c r="L24" s="309"/>
      <c r="M24" s="309"/>
      <c r="N24" s="329"/>
      <c r="O24" s="309"/>
      <c r="P24" s="309"/>
      <c r="Q24" s="306"/>
    </row>
    <row r="25" spans="1:17" s="275" customFormat="1" ht="9.75" customHeight="1">
      <c r="A25" s="274"/>
      <c r="C25" s="317"/>
      <c r="D25" s="317"/>
      <c r="E25" s="317"/>
      <c r="F25" s="317"/>
      <c r="G25" s="329"/>
      <c r="H25" s="302"/>
      <c r="I25" s="306"/>
      <c r="J25" s="309"/>
      <c r="K25" s="309"/>
      <c r="L25" s="309"/>
      <c r="M25" s="309"/>
      <c r="N25" s="310"/>
      <c r="O25" s="306"/>
      <c r="P25" s="306"/>
      <c r="Q25" s="306"/>
    </row>
    <row r="26" spans="1:17" s="275" customFormat="1" ht="9.75" customHeight="1">
      <c r="A26" s="274"/>
      <c r="C26" s="317"/>
      <c r="D26" s="317"/>
      <c r="E26" s="317"/>
      <c r="F26" s="317"/>
      <c r="G26" s="329"/>
      <c r="H26" s="302"/>
      <c r="I26" s="306"/>
      <c r="J26" s="309"/>
      <c r="K26" s="309"/>
      <c r="L26" s="309"/>
      <c r="M26" s="309"/>
      <c r="N26" s="310"/>
      <c r="O26" s="306"/>
      <c r="P26" s="306"/>
      <c r="Q26" s="306"/>
    </row>
    <row r="27" spans="1:17" s="275" customFormat="1" ht="9.75" customHeight="1">
      <c r="A27" s="286" t="s">
        <v>2</v>
      </c>
      <c r="B27" s="275"/>
      <c r="C27" s="318">
        <f>SUM(C10:C26)</f>
        <v>255711</v>
      </c>
      <c r="D27" s="318">
        <f>SUM(D10:D26)</f>
        <v>23732</v>
      </c>
      <c r="E27" s="318">
        <f>SUM(E10:E26)</f>
        <v>231979</v>
      </c>
      <c r="F27" s="318">
        <f>SUM(F20:F26)</f>
        <v>0</v>
      </c>
      <c r="G27" s="310">
        <f>SUM(G10:G26)</f>
        <v>231979</v>
      </c>
      <c r="H27" s="311">
        <f>SUM(H10:H26)</f>
        <v>5282</v>
      </c>
      <c r="I27" s="318">
        <f>SUM(I10:I26)</f>
        <v>1258</v>
      </c>
      <c r="J27" s="318"/>
      <c r="K27" s="318">
        <f>SUM(K14:K26)</f>
        <v>4311</v>
      </c>
      <c r="L27" s="318">
        <f>SUM(L10:L26)</f>
        <v>6295</v>
      </c>
      <c r="M27" s="312">
        <f>SUM(G27:L27)</f>
        <v>249125</v>
      </c>
      <c r="N27" s="337">
        <f>N11</f>
        <v>11243</v>
      </c>
      <c r="O27" s="318">
        <f>N13</f>
        <v>0</v>
      </c>
      <c r="P27" s="318">
        <f>SUM(P11:P26)</f>
        <v>6295</v>
      </c>
      <c r="Q27" s="338">
        <f>N27+O27-P27</f>
        <v>4948</v>
      </c>
    </row>
    <row r="28" spans="1:17" s="275" customFormat="1" ht="9.75" customHeight="1">
      <c r="A28" s="274"/>
      <c r="C28" s="309" t="s">
        <v>398</v>
      </c>
      <c r="D28" s="309" t="s">
        <v>399</v>
      </c>
      <c r="E28" s="309" t="s">
        <v>400</v>
      </c>
      <c r="F28" s="309" t="s">
        <v>387</v>
      </c>
      <c r="G28" s="329" t="s">
        <v>388</v>
      </c>
      <c r="H28" s="302" t="s">
        <v>389</v>
      </c>
      <c r="I28" s="339" t="s">
        <v>389</v>
      </c>
      <c r="J28" s="309" t="s">
        <v>415</v>
      </c>
      <c r="K28" s="332" t="s">
        <v>416</v>
      </c>
      <c r="L28" s="309" t="s">
        <v>417</v>
      </c>
      <c r="M28" s="312"/>
      <c r="N28" s="283" t="s">
        <v>418</v>
      </c>
      <c r="O28" s="318"/>
      <c r="P28" s="318"/>
      <c r="Q28" s="292"/>
    </row>
    <row r="29" spans="1:17" s="275" customFormat="1" ht="9.75" customHeight="1">
      <c r="A29" s="274"/>
      <c r="B29" s="340"/>
      <c r="C29" s="292"/>
      <c r="F29" s="275" t="s">
        <v>392</v>
      </c>
      <c r="G29" s="276" t="s">
        <v>419</v>
      </c>
      <c r="H29" s="277" t="s">
        <v>420</v>
      </c>
      <c r="I29" s="285" t="s">
        <v>71</v>
      </c>
      <c r="J29" s="275"/>
      <c r="K29" s="275" t="s">
        <v>395</v>
      </c>
      <c r="L29" s="341" t="s">
        <v>421</v>
      </c>
      <c r="M29" s="342" t="s">
        <v>422</v>
      </c>
      <c r="N29" s="337"/>
      <c r="O29" s="318"/>
      <c r="P29" s="318"/>
      <c r="Q29" s="292"/>
    </row>
    <row r="30" spans="1:17" s="275" customFormat="1" ht="9.75" customHeight="1">
      <c r="A30" s="274"/>
      <c r="B30" s="286" t="s">
        <v>140</v>
      </c>
      <c r="C30" s="328" t="s">
        <v>423</v>
      </c>
      <c r="D30" s="328" t="s">
        <v>424</v>
      </c>
      <c r="E30" s="341" t="s">
        <v>421</v>
      </c>
      <c r="F30" s="275" t="s">
        <v>401</v>
      </c>
      <c r="G30" s="276" t="s">
        <v>425</v>
      </c>
      <c r="H30" s="277" t="s">
        <v>153</v>
      </c>
      <c r="K30" s="275" t="s">
        <v>426</v>
      </c>
      <c r="L30" s="275">
        <v>10348</v>
      </c>
      <c r="M30" s="343">
        <f>M27</f>
        <v>249125</v>
      </c>
      <c r="N30" s="310" t="s">
        <v>427</v>
      </c>
      <c r="O30" s="306"/>
      <c r="P30" s="306"/>
      <c r="Q30" s="306"/>
    </row>
    <row r="31" spans="1:14" s="275" customFormat="1" ht="9.75" customHeight="1">
      <c r="A31" s="274"/>
      <c r="B31" s="305" t="s">
        <v>100</v>
      </c>
      <c r="C31" s="318">
        <f>C10+C14+C17+C21</f>
        <v>86436</v>
      </c>
      <c r="D31" s="318">
        <f>C11+C15+C19+C23</f>
        <v>169275</v>
      </c>
      <c r="E31" s="275" t="s">
        <v>428</v>
      </c>
      <c r="L31" s="275" t="s">
        <v>429</v>
      </c>
      <c r="M31" s="344">
        <f>M30-L30</f>
        <v>238777</v>
      </c>
      <c r="N31" s="276">
        <v>238777</v>
      </c>
    </row>
    <row r="32" spans="1:17" s="275" customFormat="1" ht="9.75" customHeight="1">
      <c r="A32" s="274"/>
      <c r="B32" s="275" t="s">
        <v>101</v>
      </c>
      <c r="C32" s="306">
        <f>D10+D14+D17+D21</f>
        <v>9355</v>
      </c>
      <c r="D32" s="309">
        <f>D11+D15+D19+D23</f>
        <v>14377</v>
      </c>
      <c r="E32" s="275">
        <v>10348</v>
      </c>
      <c r="F32" s="275"/>
      <c r="G32" s="275" t="s">
        <v>430</v>
      </c>
      <c r="H32" s="275" t="s">
        <v>431</v>
      </c>
      <c r="I32" s="275" t="s">
        <v>432</v>
      </c>
      <c r="J32" s="275"/>
      <c r="K32" s="335" t="s">
        <v>433</v>
      </c>
      <c r="L32" s="345"/>
      <c r="M32" s="346" t="s">
        <v>434</v>
      </c>
      <c r="N32" s="347" t="s">
        <v>435</v>
      </c>
      <c r="O32" s="60"/>
      <c r="P32" s="348"/>
      <c r="Q32" s="349"/>
    </row>
    <row r="33" spans="1:17" s="275" customFormat="1" ht="9.75" customHeight="1">
      <c r="A33" s="277"/>
      <c r="B33" s="275" t="s">
        <v>436</v>
      </c>
      <c r="C33" s="312">
        <f>C31-C32</f>
        <v>77081</v>
      </c>
      <c r="D33" s="312">
        <f>D31-D32</f>
        <v>154898</v>
      </c>
      <c r="E33" s="350">
        <f>D33-E32</f>
        <v>144550</v>
      </c>
      <c r="F33" s="275"/>
      <c r="G33" s="275">
        <v>23806</v>
      </c>
      <c r="H33" s="275">
        <v>72359</v>
      </c>
      <c r="I33" s="275">
        <f>SUM(G33:H33)</f>
        <v>96165</v>
      </c>
      <c r="J33" s="275"/>
      <c r="K33" s="276" t="s">
        <v>437</v>
      </c>
      <c r="L33" s="351">
        <v>60646</v>
      </c>
      <c r="M33" s="352">
        <f>M8+M30</f>
        <v>511646</v>
      </c>
      <c r="N33" s="353">
        <v>15000</v>
      </c>
      <c r="O33" s="348"/>
      <c r="P33" s="348"/>
      <c r="Q33" s="277"/>
    </row>
    <row r="34" spans="3:17" s="275" customFormat="1" ht="9.75" customHeight="1">
      <c r="C34" s="286" t="s">
        <v>438</v>
      </c>
      <c r="D34" s="286" t="s">
        <v>438</v>
      </c>
      <c r="G34" s="275" t="s">
        <v>439</v>
      </c>
      <c r="H34" s="275" t="s">
        <v>440</v>
      </c>
      <c r="I34" s="275" t="s">
        <v>101</v>
      </c>
      <c r="J34" s="275"/>
      <c r="K34" s="276" t="s">
        <v>441</v>
      </c>
      <c r="L34" s="351">
        <v>70763</v>
      </c>
      <c r="M34" s="346" t="s">
        <v>442</v>
      </c>
      <c r="N34" s="275" t="s">
        <v>443</v>
      </c>
      <c r="Q34" s="354"/>
    </row>
    <row r="35" spans="3:14" s="275" customFormat="1" ht="9.75" customHeight="1">
      <c r="C35" s="286" t="s">
        <v>444</v>
      </c>
      <c r="D35" s="286" t="s">
        <v>444</v>
      </c>
      <c r="G35" s="275">
        <v>86436</v>
      </c>
      <c r="H35" s="275">
        <f>I33-G35</f>
        <v>9729</v>
      </c>
      <c r="I35" s="275">
        <v>9355</v>
      </c>
      <c r="J35" s="275"/>
      <c r="K35" s="276" t="s">
        <v>445</v>
      </c>
      <c r="L35" s="351">
        <v>69923</v>
      </c>
      <c r="M35" s="355">
        <f>M33-L30</f>
        <v>501298</v>
      </c>
      <c r="N35" s="356">
        <f>N31-N33</f>
        <v>223777</v>
      </c>
    </row>
    <row r="36" spans="7:13" s="357" customFormat="1" ht="9.75" customHeight="1">
      <c r="G36" s="357" t="s">
        <v>446</v>
      </c>
      <c r="K36" s="358" t="s">
        <v>447</v>
      </c>
      <c r="L36" s="359">
        <v>40214</v>
      </c>
      <c r="M36" s="357" t="s">
        <v>448</v>
      </c>
    </row>
    <row r="37" spans="7:13" s="357" customFormat="1" ht="9.75" customHeight="1">
      <c r="G37" s="357">
        <f>H35-I35</f>
        <v>374</v>
      </c>
      <c r="K37" s="358"/>
      <c r="L37" s="360">
        <f>SUM(L33:L36)</f>
        <v>241546</v>
      </c>
      <c r="M37" s="357">
        <v>15000</v>
      </c>
    </row>
    <row r="38" spans="11:13" s="357" customFormat="1" ht="9.75" customHeight="1">
      <c r="K38" s="358"/>
      <c r="L38" s="359"/>
      <c r="M38" s="357" t="s">
        <v>449</v>
      </c>
    </row>
    <row r="39" spans="11:13" s="357" customFormat="1" ht="9.75" customHeight="1">
      <c r="K39" s="358"/>
      <c r="L39" s="359"/>
      <c r="M39" s="361">
        <f>M35-M37</f>
        <v>486298</v>
      </c>
    </row>
    <row r="40" spans="11:12" s="357" customFormat="1" ht="9.75" customHeight="1">
      <c r="K40" s="362"/>
      <c r="L40" s="363"/>
    </row>
    <row r="41" s="357" customFormat="1" ht="9.75" customHeight="1"/>
    <row r="42" s="357" customFormat="1" ht="9.75" customHeight="1"/>
    <row r="43" s="357" customFormat="1" ht="9.75" customHeight="1"/>
    <row r="44" s="357" customFormat="1" ht="9.75" customHeight="1"/>
    <row r="45" s="357" customFormat="1" ht="9.75" customHeight="1"/>
    <row r="46" s="357" customFormat="1" ht="9.75" customHeight="1"/>
    <row r="47" ht="9.75" customHeight="1"/>
    <row r="48" spans="1:12" ht="12.75">
      <c r="A48" s="264"/>
      <c r="B48" s="275" t="s">
        <v>450</v>
      </c>
      <c r="C48" s="275" t="s">
        <v>451</v>
      </c>
      <c r="D48" s="275" t="s">
        <v>450</v>
      </c>
      <c r="E48" s="305" t="s">
        <v>452</v>
      </c>
      <c r="F48" s="275"/>
      <c r="G48" s="277" t="s">
        <v>453</v>
      </c>
      <c r="H48" s="277" t="s">
        <v>451</v>
      </c>
      <c r="I48" s="275" t="s">
        <v>453</v>
      </c>
      <c r="J48" s="275"/>
      <c r="K48" s="275" t="s">
        <v>454</v>
      </c>
      <c r="L48" s="348"/>
    </row>
    <row r="49" spans="2:12" ht="12.75">
      <c r="B49" s="275" t="s">
        <v>455</v>
      </c>
      <c r="C49" s="305">
        <v>14960</v>
      </c>
      <c r="D49" s="305" t="s">
        <v>260</v>
      </c>
      <c r="E49" s="305">
        <v>3562</v>
      </c>
      <c r="F49" s="275"/>
      <c r="G49" s="275" t="s">
        <v>456</v>
      </c>
      <c r="H49" s="275">
        <v>23395</v>
      </c>
      <c r="I49" s="275"/>
      <c r="J49" s="275"/>
      <c r="K49" s="41" t="s">
        <v>457</v>
      </c>
      <c r="L49" s="45">
        <v>4081</v>
      </c>
    </row>
    <row r="50" spans="2:12" ht="12.75">
      <c r="B50" s="275" t="s">
        <v>458</v>
      </c>
      <c r="C50" s="277">
        <v>22689</v>
      </c>
      <c r="D50" s="277" t="s">
        <v>459</v>
      </c>
      <c r="E50" s="277">
        <v>11694</v>
      </c>
      <c r="F50" s="275"/>
      <c r="G50" s="275" t="s">
        <v>460</v>
      </c>
      <c r="H50" s="275">
        <v>15395</v>
      </c>
      <c r="I50" s="275"/>
      <c r="J50" s="275"/>
      <c r="K50" s="41" t="s">
        <v>459</v>
      </c>
      <c r="L50" s="45">
        <v>13073</v>
      </c>
    </row>
    <row r="51" spans="2:12" ht="12.75">
      <c r="B51" s="357"/>
      <c r="C51" s="357">
        <f>SUM(C49:C50)</f>
        <v>37649</v>
      </c>
      <c r="D51" s="357" t="s">
        <v>152</v>
      </c>
      <c r="E51" s="305">
        <v>3539</v>
      </c>
      <c r="F51" s="357"/>
      <c r="G51" s="357"/>
      <c r="H51" s="357">
        <f>SUM(H49:H50)</f>
        <v>38790</v>
      </c>
      <c r="I51" s="357"/>
      <c r="J51" s="357"/>
      <c r="K51" s="41" t="s">
        <v>152</v>
      </c>
      <c r="L51" s="45">
        <v>2723</v>
      </c>
    </row>
    <row r="52" spans="2:12" ht="12.75">
      <c r="B52" s="364"/>
      <c r="C52" s="364"/>
      <c r="D52" s="364"/>
      <c r="E52" s="364">
        <f>SUM(E49:E51)</f>
        <v>18795</v>
      </c>
      <c r="F52" s="357"/>
      <c r="G52" s="357"/>
      <c r="H52" s="357"/>
      <c r="I52" s="357"/>
      <c r="J52" s="357"/>
      <c r="K52" s="2" t="s">
        <v>459</v>
      </c>
      <c r="L52" s="41">
        <v>751</v>
      </c>
    </row>
    <row r="53" spans="2:12" ht="12.75">
      <c r="B53" s="357" t="s">
        <v>461</v>
      </c>
      <c r="C53" s="357" t="s">
        <v>451</v>
      </c>
      <c r="D53" s="357" t="s">
        <v>461</v>
      </c>
      <c r="E53" s="357" t="s">
        <v>452</v>
      </c>
      <c r="F53" s="357" t="s">
        <v>462</v>
      </c>
      <c r="G53" s="357"/>
      <c r="H53" s="357"/>
      <c r="I53" s="357"/>
      <c r="J53" s="357"/>
      <c r="K53" s="2" t="s">
        <v>463</v>
      </c>
      <c r="L53" s="41">
        <v>369</v>
      </c>
    </row>
    <row r="54" spans="2:12" ht="12.75">
      <c r="B54" s="357" t="s">
        <v>464</v>
      </c>
      <c r="C54" s="357">
        <v>22957</v>
      </c>
      <c r="D54" s="357" t="s">
        <v>152</v>
      </c>
      <c r="E54" s="305">
        <v>2506</v>
      </c>
      <c r="F54" s="357">
        <v>0</v>
      </c>
      <c r="G54" s="357"/>
      <c r="H54" s="357"/>
      <c r="I54" s="357"/>
      <c r="J54" s="357"/>
      <c r="K54" s="2" t="s">
        <v>465</v>
      </c>
      <c r="L54" s="41">
        <v>1047</v>
      </c>
    </row>
    <row r="55" spans="2:12" ht="12.75">
      <c r="B55" s="357" t="s">
        <v>466</v>
      </c>
      <c r="C55" s="357">
        <v>22855</v>
      </c>
      <c r="D55" s="357" t="s">
        <v>459</v>
      </c>
      <c r="E55" s="357">
        <v>3206</v>
      </c>
      <c r="F55" s="357">
        <v>5344</v>
      </c>
      <c r="G55" s="357"/>
      <c r="H55" s="357"/>
      <c r="I55" s="357"/>
      <c r="J55" s="357"/>
      <c r="K55" s="2" t="s">
        <v>467</v>
      </c>
      <c r="L55" s="41">
        <v>1614</v>
      </c>
    </row>
    <row r="56" spans="2:12" ht="12.75">
      <c r="B56" s="357" t="s">
        <v>468</v>
      </c>
      <c r="C56" s="357">
        <v>23233</v>
      </c>
      <c r="D56" s="357" t="s">
        <v>469</v>
      </c>
      <c r="E56" s="357">
        <v>132</v>
      </c>
      <c r="F56" s="357" t="s">
        <v>260</v>
      </c>
      <c r="G56" s="357"/>
      <c r="H56" s="357"/>
      <c r="I56" s="357"/>
      <c r="J56" s="357"/>
      <c r="K56" s="2" t="s">
        <v>260</v>
      </c>
      <c r="L56" s="41">
        <v>13463</v>
      </c>
    </row>
    <row r="57" spans="2:12" ht="12.75">
      <c r="B57" s="357"/>
      <c r="C57" s="357">
        <f>SUM(C54:C56)</f>
        <v>69045</v>
      </c>
      <c r="D57" s="357" t="s">
        <v>470</v>
      </c>
      <c r="E57" s="357">
        <v>872</v>
      </c>
      <c r="F57" s="357">
        <v>13463</v>
      </c>
      <c r="G57" s="357"/>
      <c r="H57" s="357"/>
      <c r="I57" s="357"/>
      <c r="J57" s="357"/>
      <c r="K57" s="365" t="s">
        <v>471</v>
      </c>
      <c r="L57" s="366">
        <f>SUM(L49:L56)</f>
        <v>37121</v>
      </c>
    </row>
    <row r="58" spans="2:12" ht="12.75">
      <c r="B58" s="357"/>
      <c r="C58" s="357"/>
      <c r="D58" s="357"/>
      <c r="E58" s="357">
        <f>SUM(E54:E57)</f>
        <v>6716</v>
      </c>
      <c r="F58" s="357" t="s">
        <v>459</v>
      </c>
      <c r="G58" s="357"/>
      <c r="H58" s="357"/>
      <c r="I58" s="357"/>
      <c r="J58" s="357"/>
      <c r="K58" s="357"/>
      <c r="L58" s="357"/>
    </row>
    <row r="59" spans="2:12" ht="12.75">
      <c r="B59" s="357"/>
      <c r="C59" s="357"/>
      <c r="D59" s="367" t="s">
        <v>472</v>
      </c>
      <c r="E59" s="368">
        <f>F55</f>
        <v>5344</v>
      </c>
      <c r="F59" s="357">
        <v>13073</v>
      </c>
      <c r="G59" s="357"/>
      <c r="H59" s="357"/>
      <c r="I59" s="357"/>
      <c r="J59" s="357"/>
      <c r="K59" s="357"/>
      <c r="L59" s="357"/>
    </row>
    <row r="60" spans="2:12" ht="12.75">
      <c r="B60" s="357"/>
      <c r="C60" s="357"/>
      <c r="D60" s="358"/>
      <c r="E60" s="359">
        <f>F59</f>
        <v>13073</v>
      </c>
      <c r="F60" s="286" t="s">
        <v>140</v>
      </c>
      <c r="G60" s="357"/>
      <c r="H60" s="357"/>
      <c r="I60" s="357"/>
      <c r="J60" s="357"/>
      <c r="K60" s="357"/>
      <c r="L60" s="357"/>
    </row>
    <row r="61" spans="2:12" ht="12.75">
      <c r="B61" s="357"/>
      <c r="C61" s="357"/>
      <c r="D61" s="362"/>
      <c r="E61" s="369">
        <f>SUM(E59:E60)</f>
        <v>18417</v>
      </c>
      <c r="F61" s="286">
        <f>SUM(F55:F59)</f>
        <v>31880</v>
      </c>
      <c r="G61" s="357"/>
      <c r="H61" s="357"/>
      <c r="I61" s="357"/>
      <c r="J61" s="357"/>
      <c r="K61" s="357"/>
      <c r="L61" s="357"/>
    </row>
  </sheetData>
  <mergeCells count="1">
    <mergeCell ref="P2:Q2"/>
  </mergeCells>
  <printOptions/>
  <pageMargins left="0.75" right="0.75" top="1" bottom="1" header="0.4921259845" footer="0.492125984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euil112"/>
  <dimension ref="A1:R78"/>
  <sheetViews>
    <sheetView workbookViewId="0" topLeftCell="A1">
      <selection activeCell="C36" sqref="C36"/>
    </sheetView>
  </sheetViews>
  <sheetFormatPr defaultColWidth="11.421875" defaultRowHeight="9.75" customHeight="1"/>
  <cols>
    <col min="1" max="1" width="8.00390625" style="131" customWidth="1"/>
    <col min="2" max="2" width="9.140625" style="131" customWidth="1"/>
    <col min="3" max="4" width="8.7109375" style="131" customWidth="1"/>
    <col min="5" max="5" width="10.421875" style="131" customWidth="1"/>
    <col min="6" max="8" width="8.7109375" style="131" customWidth="1"/>
    <col min="9" max="9" width="10.140625" style="131" customWidth="1"/>
    <col min="10" max="10" width="6.57421875" style="131" customWidth="1"/>
    <col min="11" max="11" width="8.7109375" style="131" customWidth="1"/>
    <col min="12" max="12" width="8.57421875" style="131" customWidth="1"/>
    <col min="13" max="13" width="8.7109375" style="131" customWidth="1"/>
    <col min="14" max="14" width="9.421875" style="131" customWidth="1"/>
    <col min="15" max="15" width="9.140625" style="131" customWidth="1"/>
    <col min="16" max="16" width="9.28125" style="131" customWidth="1"/>
    <col min="17" max="17" width="8.7109375" style="131" customWidth="1"/>
    <col min="18" max="16384" width="11.421875" style="131" customWidth="1"/>
  </cols>
  <sheetData>
    <row r="1" spans="1:16" ht="30.75" customHeight="1">
      <c r="A1" s="128" t="s">
        <v>95</v>
      </c>
      <c r="B1" s="128" t="s">
        <v>96</v>
      </c>
      <c r="C1" s="128" t="s">
        <v>97</v>
      </c>
      <c r="D1" s="128" t="s">
        <v>98</v>
      </c>
      <c r="E1" s="128" t="s">
        <v>99</v>
      </c>
      <c r="F1" s="128" t="s">
        <v>100</v>
      </c>
      <c r="G1" s="128" t="s">
        <v>101</v>
      </c>
      <c r="H1" s="129" t="s">
        <v>105</v>
      </c>
      <c r="I1" s="129" t="s">
        <v>296</v>
      </c>
      <c r="J1" s="129" t="s">
        <v>309</v>
      </c>
      <c r="K1" s="129" t="s">
        <v>290</v>
      </c>
      <c r="L1" s="255" t="s">
        <v>239</v>
      </c>
      <c r="M1" s="555" t="s">
        <v>235</v>
      </c>
      <c r="N1" s="556" t="s">
        <v>291</v>
      </c>
      <c r="O1" s="643" t="s">
        <v>973</v>
      </c>
      <c r="P1" s="644"/>
    </row>
    <row r="2" spans="1:16" ht="10.5" customHeight="1">
      <c r="A2" s="132"/>
      <c r="B2" s="132"/>
      <c r="C2" s="132"/>
      <c r="D2" s="132"/>
      <c r="E2" s="132">
        <f>C3+D4</f>
        <v>70244</v>
      </c>
      <c r="F2" s="132"/>
      <c r="G2" s="132"/>
      <c r="I2" s="132"/>
      <c r="J2" s="132"/>
      <c r="K2" s="132"/>
      <c r="L2" s="132"/>
      <c r="M2" s="132"/>
      <c r="N2" s="375" t="s">
        <v>983</v>
      </c>
      <c r="O2" s="169">
        <v>0</v>
      </c>
      <c r="P2" s="131" t="s">
        <v>993</v>
      </c>
    </row>
    <row r="3" spans="1:16" ht="9.75" customHeight="1">
      <c r="A3" s="482"/>
      <c r="B3" s="133" t="s">
        <v>103</v>
      </c>
      <c r="C3" s="134">
        <v>24832</v>
      </c>
      <c r="E3" s="130"/>
      <c r="F3" s="130"/>
      <c r="G3" s="130"/>
      <c r="H3" s="130"/>
      <c r="I3" s="130"/>
      <c r="L3" s="130"/>
      <c r="M3" s="130"/>
      <c r="N3" s="170"/>
      <c r="O3" s="130">
        <v>0</v>
      </c>
      <c r="P3" s="131" t="s">
        <v>554</v>
      </c>
    </row>
    <row r="4" spans="1:16" s="130" customFormat="1" ht="10.5" customHeight="1">
      <c r="A4" s="482">
        <v>5</v>
      </c>
      <c r="D4" s="131">
        <f>'Remettants mars 99'!E13</f>
        <v>45412</v>
      </c>
      <c r="E4" s="130"/>
      <c r="F4" s="130">
        <v>46800</v>
      </c>
      <c r="G4" s="130">
        <f>'bdoVPZ RT mars  99'!T9</f>
        <v>7797</v>
      </c>
      <c r="H4" s="130">
        <f>F4-G4</f>
        <v>39003</v>
      </c>
      <c r="I4" s="205">
        <f>G4/F4</f>
        <v>0.1666025641025641</v>
      </c>
      <c r="K4" s="140"/>
      <c r="M4" s="387"/>
      <c r="N4" s="375">
        <f>E2-F4</f>
        <v>23444</v>
      </c>
      <c r="O4" s="130">
        <f>'Remettants mars 99'!AB25</f>
        <v>0</v>
      </c>
      <c r="P4" s="131" t="s">
        <v>555</v>
      </c>
    </row>
    <row r="5" spans="1:16" ht="9" customHeight="1">
      <c r="A5" s="482">
        <v>6</v>
      </c>
      <c r="D5" s="130">
        <v>0</v>
      </c>
      <c r="E5" s="131"/>
      <c r="F5" s="131">
        <v>0</v>
      </c>
      <c r="G5" s="131">
        <v>0</v>
      </c>
      <c r="H5" s="130">
        <f>F5-G5</f>
        <v>0</v>
      </c>
      <c r="I5" s="205">
        <v>0</v>
      </c>
      <c r="L5" s="130"/>
      <c r="M5" s="203"/>
      <c r="O5" s="155">
        <f>'Remettants mars 99'!AB37</f>
        <v>0</v>
      </c>
      <c r="P5" s="131" t="s">
        <v>556</v>
      </c>
    </row>
    <row r="6" spans="1:16" ht="9" customHeight="1">
      <c r="A6" s="482">
        <v>7</v>
      </c>
      <c r="D6" s="131">
        <f>'Remettants mars 99'!E37</f>
        <v>0</v>
      </c>
      <c r="E6" s="131"/>
      <c r="F6" s="144">
        <v>0</v>
      </c>
      <c r="G6" s="144">
        <f>'bdoVPZ RT mars  99'!T25</f>
        <v>0</v>
      </c>
      <c r="H6" s="146">
        <f>F6-G6</f>
        <v>0</v>
      </c>
      <c r="I6" s="205">
        <v>0</v>
      </c>
      <c r="L6" s="130"/>
      <c r="M6" s="203"/>
      <c r="O6" s="155">
        <f>'Remettants mars 99'!AB49</f>
        <v>0</v>
      </c>
      <c r="P6" s="131" t="s">
        <v>557</v>
      </c>
    </row>
    <row r="7" spans="1:17" ht="9" customHeight="1">
      <c r="A7" s="482">
        <v>8</v>
      </c>
      <c r="B7" s="130"/>
      <c r="C7" s="130"/>
      <c r="D7" s="131">
        <f>'Remettants mars 99'!E49</f>
        <v>0</v>
      </c>
      <c r="E7" s="131"/>
      <c r="F7" s="130">
        <v>0</v>
      </c>
      <c r="G7" s="131">
        <f>'bdoVPZ RT mars  99'!T33</f>
        <v>0</v>
      </c>
      <c r="H7" s="130">
        <f>F7-G7</f>
        <v>0</v>
      </c>
      <c r="I7" s="205">
        <v>0</v>
      </c>
      <c r="J7" s="130"/>
      <c r="M7" s="130"/>
      <c r="O7" s="488">
        <f>'Remettants mars 99'!AB61</f>
        <v>0</v>
      </c>
      <c r="P7" s="131" t="s">
        <v>558</v>
      </c>
      <c r="Q7" s="130"/>
    </row>
    <row r="8" spans="1:17" ht="9.75" customHeight="1" thickBot="1">
      <c r="A8" s="482"/>
      <c r="B8" s="130"/>
      <c r="C8" s="130"/>
      <c r="D8" s="130">
        <f>'Remettants mars 99'!E61</f>
        <v>0</v>
      </c>
      <c r="E8" s="131"/>
      <c r="F8" s="131">
        <v>0</v>
      </c>
      <c r="G8" s="130">
        <f>'bdoVPZ RT mars  99'!T41</f>
        <v>0</v>
      </c>
      <c r="H8" s="130">
        <f>F8-G8</f>
        <v>0</v>
      </c>
      <c r="I8" s="205">
        <v>0</v>
      </c>
      <c r="J8" s="130"/>
      <c r="O8" s="489"/>
      <c r="P8" s="131" t="s">
        <v>559</v>
      </c>
      <c r="Q8" s="130"/>
    </row>
    <row r="9" spans="1:16" ht="11.25" customHeight="1" thickBot="1">
      <c r="A9" s="483"/>
      <c r="B9" s="130"/>
      <c r="C9" s="130"/>
      <c r="D9" s="130">
        <f>SUM(D5:D8)</f>
        <v>0</v>
      </c>
      <c r="E9" s="252" t="s">
        <v>364</v>
      </c>
      <c r="F9" s="250">
        <f>SUM(F3:F8)</f>
        <v>46800</v>
      </c>
      <c r="G9" s="250">
        <f>SUM(G4:G8)</f>
        <v>7797</v>
      </c>
      <c r="H9" s="251">
        <f>H4+H5+H6+H7+H8</f>
        <v>39003</v>
      </c>
      <c r="I9" s="205">
        <f>G9/F9</f>
        <v>0.1666025641025641</v>
      </c>
      <c r="J9" s="130"/>
      <c r="K9" s="136"/>
      <c r="L9" s="139"/>
      <c r="O9" s="155"/>
      <c r="P9" s="131" t="s">
        <v>560</v>
      </c>
    </row>
    <row r="10" spans="1:17" ht="9.75" customHeight="1">
      <c r="A10" s="143"/>
      <c r="B10" s="143" t="s">
        <v>224</v>
      </c>
      <c r="C10" s="143" t="s">
        <v>223</v>
      </c>
      <c r="D10" s="143" t="s">
        <v>278</v>
      </c>
      <c r="E10" s="143" t="s">
        <v>302</v>
      </c>
      <c r="F10" s="143"/>
      <c r="G10" s="143"/>
      <c r="H10" s="143"/>
      <c r="I10" s="557" t="s">
        <v>338</v>
      </c>
      <c r="J10" s="143"/>
      <c r="K10" s="143"/>
      <c r="L10" s="156" t="s">
        <v>204</v>
      </c>
      <c r="M10" s="189"/>
      <c r="N10" s="144"/>
      <c r="O10" s="154"/>
      <c r="P10" s="131" t="s">
        <v>561</v>
      </c>
      <c r="Q10" s="146"/>
    </row>
    <row r="11" spans="1:16" ht="9" customHeight="1">
      <c r="A11" s="190" t="s">
        <v>277</v>
      </c>
      <c r="B11" s="139">
        <v>68442</v>
      </c>
      <c r="C11" s="139">
        <v>265684</v>
      </c>
      <c r="D11" s="139">
        <f>SUM(B11:C11)</f>
        <v>334126</v>
      </c>
      <c r="E11" s="139">
        <f>C3+D11</f>
        <v>358958</v>
      </c>
      <c r="F11" s="139"/>
      <c r="G11" s="139"/>
      <c r="H11" s="147"/>
      <c r="I11" s="135" t="s">
        <v>296</v>
      </c>
      <c r="J11" s="135" t="s">
        <v>153</v>
      </c>
      <c r="K11" s="157" t="s">
        <v>205</v>
      </c>
      <c r="L11" s="131" t="s">
        <v>229</v>
      </c>
      <c r="M11" s="130"/>
      <c r="O11" s="155"/>
      <c r="P11" s="131" t="s">
        <v>562</v>
      </c>
    </row>
    <row r="12" spans="1:18" ht="9" customHeight="1">
      <c r="A12" s="484">
        <f>A4</f>
        <v>5</v>
      </c>
      <c r="B12" s="130"/>
      <c r="D12" s="130"/>
      <c r="E12" s="130" t="s">
        <v>975</v>
      </c>
      <c r="F12" s="131">
        <v>441</v>
      </c>
      <c r="G12" s="131">
        <v>0</v>
      </c>
      <c r="H12" s="148">
        <f>F12-G12</f>
        <v>441</v>
      </c>
      <c r="I12" s="141">
        <f>'Mixt&amp;Batt.mars 99 SKI (2)'!J14</f>
        <v>7368</v>
      </c>
      <c r="J12" s="130">
        <v>0</v>
      </c>
      <c r="K12" s="168" t="s">
        <v>282</v>
      </c>
      <c r="L12" s="135" t="s">
        <v>282</v>
      </c>
      <c r="O12" s="155"/>
      <c r="P12" s="131" t="s">
        <v>563</v>
      </c>
      <c r="R12" s="130"/>
    </row>
    <row r="13" spans="1:18" ht="9.75" customHeight="1">
      <c r="A13" s="141"/>
      <c r="B13" s="130"/>
      <c r="C13" s="130"/>
      <c r="D13" s="149"/>
      <c r="F13" s="131">
        <v>0</v>
      </c>
      <c r="G13" s="131">
        <v>0</v>
      </c>
      <c r="H13" s="148">
        <f>F13-G13</f>
        <v>0</v>
      </c>
      <c r="I13" s="133">
        <v>0</v>
      </c>
      <c r="J13" s="131">
        <v>0</v>
      </c>
      <c r="K13" s="201">
        <v>0</v>
      </c>
      <c r="L13" s="202">
        <v>68442</v>
      </c>
      <c r="M13" s="200" t="s">
        <v>276</v>
      </c>
      <c r="N13" s="217">
        <v>68442</v>
      </c>
      <c r="O13" s="155"/>
      <c r="P13" s="131" t="s">
        <v>564</v>
      </c>
      <c r="R13" s="212"/>
    </row>
    <row r="14" spans="5:16" ht="9" customHeight="1">
      <c r="E14" s="130" t="s">
        <v>294</v>
      </c>
      <c r="F14" s="131">
        <v>15667</v>
      </c>
      <c r="G14" s="131">
        <f>'bdoCH RT      99'!U41</f>
        <v>0</v>
      </c>
      <c r="H14" s="148">
        <f>F14-G14</f>
        <v>15667</v>
      </c>
      <c r="I14" s="133">
        <v>0</v>
      </c>
      <c r="J14" s="131">
        <v>0</v>
      </c>
      <c r="K14" s="188" t="s">
        <v>972</v>
      </c>
      <c r="L14" s="158"/>
      <c r="M14" s="485">
        <f>A4</f>
        <v>5</v>
      </c>
      <c r="O14" s="155"/>
      <c r="P14" s="131" t="s">
        <v>565</v>
      </c>
    </row>
    <row r="15" spans="1:16" ht="9" customHeight="1">
      <c r="A15" s="150" t="s">
        <v>230</v>
      </c>
      <c r="B15" s="151" t="s">
        <v>143</v>
      </c>
      <c r="F15" s="131">
        <f>SUM(C15:E15)</f>
        <v>0</v>
      </c>
      <c r="G15" s="131">
        <v>0</v>
      </c>
      <c r="H15" s="148">
        <f>F15-G15</f>
        <v>0</v>
      </c>
      <c r="I15" s="133">
        <v>0</v>
      </c>
      <c r="J15" s="131">
        <v>0</v>
      </c>
      <c r="K15" s="155" t="s">
        <v>273</v>
      </c>
      <c r="L15" s="130" t="s">
        <v>274</v>
      </c>
      <c r="M15" s="130"/>
      <c r="O15" s="155"/>
      <c r="P15" s="131" t="s">
        <v>566</v>
      </c>
    </row>
    <row r="16" spans="1:16" ht="9" customHeight="1">
      <c r="A16" s="147">
        <f>'Remettants mars 99'!AB13</f>
        <v>10688</v>
      </c>
      <c r="B16" s="152">
        <f>'Remettants mars 99'!AD13</f>
        <v>4133</v>
      </c>
      <c r="C16" s="139">
        <f>A16+B16</f>
        <v>14821</v>
      </c>
      <c r="D16" s="153" t="s">
        <v>293</v>
      </c>
      <c r="E16" s="153">
        <f>A12</f>
        <v>5</v>
      </c>
      <c r="F16" s="193">
        <f>SUM(F12:F15)</f>
        <v>16108</v>
      </c>
      <c r="G16" s="193">
        <f>SUM(G12:G15)</f>
        <v>0</v>
      </c>
      <c r="H16" s="193">
        <f>SUM(H12:H15)</f>
        <v>16108</v>
      </c>
      <c r="I16" s="153">
        <f>SUM(I12:I15)</f>
        <v>7368</v>
      </c>
      <c r="J16" s="153">
        <v>0</v>
      </c>
      <c r="K16" s="155">
        <v>0</v>
      </c>
      <c r="L16" s="131">
        <f>F12</f>
        <v>441</v>
      </c>
      <c r="N16" s="142"/>
      <c r="O16" s="155"/>
      <c r="P16" s="131" t="s">
        <v>567</v>
      </c>
    </row>
    <row r="17" spans="1:16" ht="9" customHeight="1">
      <c r="A17" s="484">
        <f>A5</f>
        <v>6</v>
      </c>
      <c r="B17" s="130"/>
      <c r="C17" s="130"/>
      <c r="D17" s="130"/>
      <c r="E17" s="130" t="s">
        <v>975</v>
      </c>
      <c r="F17" s="131">
        <v>0</v>
      </c>
      <c r="G17" s="131">
        <v>0</v>
      </c>
      <c r="H17" s="148">
        <f>F17-G17</f>
        <v>0</v>
      </c>
      <c r="I17" s="131">
        <v>0</v>
      </c>
      <c r="J17" s="130">
        <v>0</v>
      </c>
      <c r="K17" s="188" t="s">
        <v>972</v>
      </c>
      <c r="L17" s="131"/>
      <c r="M17" s="486">
        <f>A5</f>
        <v>6</v>
      </c>
      <c r="O17" s="155"/>
      <c r="P17" s="131" t="s">
        <v>568</v>
      </c>
    </row>
    <row r="18" spans="1:16" ht="9" customHeight="1">
      <c r="A18" s="133"/>
      <c r="B18" s="130"/>
      <c r="D18" s="130"/>
      <c r="F18" s="131">
        <v>0</v>
      </c>
      <c r="G18" s="131">
        <v>0</v>
      </c>
      <c r="H18" s="148">
        <f>F18-G18</f>
        <v>0</v>
      </c>
      <c r="I18" s="131">
        <v>0</v>
      </c>
      <c r="J18" s="130">
        <v>0</v>
      </c>
      <c r="K18" s="155" t="s">
        <v>273</v>
      </c>
      <c r="L18" s="130" t="s">
        <v>274</v>
      </c>
      <c r="M18" s="130"/>
      <c r="O18" s="155"/>
      <c r="P18" s="131" t="s">
        <v>569</v>
      </c>
    </row>
    <row r="19" spans="5:16" ht="9" customHeight="1">
      <c r="E19" s="130" t="s">
        <v>294</v>
      </c>
      <c r="F19" s="131">
        <v>0</v>
      </c>
      <c r="G19" s="131">
        <f>'bdoCH RT      99'!T17</f>
        <v>0</v>
      </c>
      <c r="H19" s="148">
        <f>F19-G19</f>
        <v>0</v>
      </c>
      <c r="I19" s="131">
        <v>0</v>
      </c>
      <c r="J19" s="131">
        <v>0</v>
      </c>
      <c r="K19" s="155">
        <v>0</v>
      </c>
      <c r="L19" s="131">
        <f>F17</f>
        <v>0</v>
      </c>
      <c r="N19" s="130"/>
      <c r="O19" s="155"/>
      <c r="P19" s="131" t="s">
        <v>570</v>
      </c>
    </row>
    <row r="20" spans="6:16" ht="9" customHeight="1">
      <c r="F20" s="131">
        <v>0</v>
      </c>
      <c r="G20" s="131">
        <v>0</v>
      </c>
      <c r="H20" s="148">
        <f>F20-G20</f>
        <v>0</v>
      </c>
      <c r="K20" s="188" t="s">
        <v>301</v>
      </c>
      <c r="L20" s="131"/>
      <c r="M20" s="487">
        <f>A6</f>
        <v>7</v>
      </c>
      <c r="N20" s="130"/>
      <c r="O20" s="147"/>
      <c r="P20" s="139" t="s">
        <v>571</v>
      </c>
    </row>
    <row r="21" spans="1:16" ht="9" customHeight="1">
      <c r="A21" s="150" t="s">
        <v>230</v>
      </c>
      <c r="B21" s="151" t="s">
        <v>143</v>
      </c>
      <c r="F21" s="131">
        <v>0</v>
      </c>
      <c r="G21" s="131">
        <v>0</v>
      </c>
      <c r="H21" s="148">
        <f>F21-G21</f>
        <v>0</v>
      </c>
      <c r="K21" s="155" t="s">
        <v>273</v>
      </c>
      <c r="L21" s="130" t="s">
        <v>274</v>
      </c>
      <c r="M21" s="130"/>
      <c r="O21" s="168">
        <f>SUM(O2:O20)</f>
        <v>0</v>
      </c>
      <c r="P21" s="131" t="s">
        <v>974</v>
      </c>
    </row>
    <row r="22" spans="1:16" ht="9.75" customHeight="1">
      <c r="A22" s="147">
        <f>'Remettants mars 99'!AB25</f>
        <v>0</v>
      </c>
      <c r="B22" s="152">
        <v>0</v>
      </c>
      <c r="C22" s="139">
        <f>SUM(A22:B22)</f>
        <v>0</v>
      </c>
      <c r="D22" s="153" t="s">
        <v>293</v>
      </c>
      <c r="E22" s="153">
        <f>A17</f>
        <v>6</v>
      </c>
      <c r="F22" s="193">
        <f>SUM(F17:F21)</f>
        <v>0</v>
      </c>
      <c r="G22" s="193">
        <f>SUM(G17:G21)</f>
        <v>0</v>
      </c>
      <c r="H22" s="192">
        <f>SUM(H17:H21)</f>
        <v>0</v>
      </c>
      <c r="I22" s="153">
        <f>SUM(I17:I21)</f>
        <v>0</v>
      </c>
      <c r="J22" s="153">
        <f>SUM(J17:J21)</f>
        <v>0</v>
      </c>
      <c r="K22" s="155"/>
      <c r="L22" s="131">
        <f>F23</f>
        <v>0</v>
      </c>
      <c r="M22" s="135"/>
      <c r="O22" s="131">
        <f>L16+L19+L22+L25</f>
        <v>441</v>
      </c>
      <c r="P22" s="131" t="s">
        <v>165</v>
      </c>
    </row>
    <row r="23" spans="1:16" ht="10.5" customHeight="1">
      <c r="A23" s="484">
        <f>A6</f>
        <v>7</v>
      </c>
      <c r="E23" s="130" t="s">
        <v>975</v>
      </c>
      <c r="F23" s="131">
        <v>0</v>
      </c>
      <c r="G23" s="131">
        <v>0</v>
      </c>
      <c r="H23" s="148">
        <f>F23-G23</f>
        <v>0</v>
      </c>
      <c r="I23" s="131">
        <v>0</v>
      </c>
      <c r="J23" s="131"/>
      <c r="K23" s="188" t="s">
        <v>301</v>
      </c>
      <c r="L23" s="131"/>
      <c r="M23" s="486">
        <f>A7</f>
        <v>8</v>
      </c>
      <c r="N23" s="131"/>
      <c r="O23" s="135">
        <f>N13+O21-O22</f>
        <v>68001</v>
      </c>
      <c r="P23" s="131" t="s">
        <v>358</v>
      </c>
    </row>
    <row r="24" spans="1:16" ht="9" customHeight="1">
      <c r="A24" s="133"/>
      <c r="E24" s="130"/>
      <c r="F24" s="131">
        <v>0</v>
      </c>
      <c r="G24" s="131">
        <v>0</v>
      </c>
      <c r="H24" s="148">
        <f>F24-G24</f>
        <v>0</v>
      </c>
      <c r="K24" s="155" t="s">
        <v>273</v>
      </c>
      <c r="L24" s="130" t="s">
        <v>274</v>
      </c>
      <c r="M24" s="130"/>
      <c r="O24" s="641" t="s">
        <v>263</v>
      </c>
      <c r="P24" s="642"/>
    </row>
    <row r="25" spans="1:15" ht="9" customHeight="1">
      <c r="A25" s="141"/>
      <c r="E25" s="130" t="s">
        <v>294</v>
      </c>
      <c r="F25" s="131">
        <v>0</v>
      </c>
      <c r="G25" s="131">
        <v>0</v>
      </c>
      <c r="H25" s="148">
        <f>F25-G25</f>
        <v>0</v>
      </c>
      <c r="K25" s="155">
        <v>0</v>
      </c>
      <c r="L25" s="131">
        <v>0</v>
      </c>
      <c r="M25" s="137"/>
      <c r="O25" s="447">
        <v>318572</v>
      </c>
    </row>
    <row r="26" spans="5:18" ht="9" customHeight="1">
      <c r="E26" s="130"/>
      <c r="F26" s="131">
        <v>0</v>
      </c>
      <c r="G26" s="131">
        <v>0</v>
      </c>
      <c r="H26" s="148">
        <f>F26-G26</f>
        <v>0</v>
      </c>
      <c r="K26" s="188" t="s">
        <v>301</v>
      </c>
      <c r="M26" s="486"/>
      <c r="O26" s="155"/>
      <c r="P26" s="131" t="s">
        <v>993</v>
      </c>
      <c r="R26" s="130"/>
    </row>
    <row r="27" spans="1:16" ht="9" customHeight="1">
      <c r="A27" s="150" t="s">
        <v>230</v>
      </c>
      <c r="B27" s="151" t="s">
        <v>143</v>
      </c>
      <c r="E27" s="130"/>
      <c r="F27" s="131">
        <v>0</v>
      </c>
      <c r="G27" s="131">
        <v>0</v>
      </c>
      <c r="H27" s="148">
        <f>F27-G27</f>
        <v>0</v>
      </c>
      <c r="K27" s="155" t="s">
        <v>273</v>
      </c>
      <c r="L27" s="130" t="s">
        <v>274</v>
      </c>
      <c r="M27" s="130"/>
      <c r="O27" s="155"/>
      <c r="P27" s="131" t="s">
        <v>554</v>
      </c>
    </row>
    <row r="28" spans="1:16" ht="9" customHeight="1">
      <c r="A28" s="147">
        <f>'Remettants mars 99'!AB37</f>
        <v>0</v>
      </c>
      <c r="B28" s="152">
        <v>0</v>
      </c>
      <c r="C28" s="139">
        <f>A28+B28</f>
        <v>0</v>
      </c>
      <c r="D28" s="153" t="s">
        <v>293</v>
      </c>
      <c r="E28" s="153">
        <f>A23</f>
        <v>7</v>
      </c>
      <c r="F28" s="193">
        <f>SUM(F23:F27)</f>
        <v>0</v>
      </c>
      <c r="G28" s="193">
        <f>SUM(G23:G27)</f>
        <v>0</v>
      </c>
      <c r="H28" s="192">
        <f>SUM(H23:H27)</f>
        <v>0</v>
      </c>
      <c r="I28" s="139">
        <f>SUM(I23:I27)</f>
        <v>0</v>
      </c>
      <c r="J28" s="139"/>
      <c r="K28" s="155"/>
      <c r="L28" s="130"/>
      <c r="M28" s="135"/>
      <c r="O28" s="155"/>
      <c r="P28" s="131" t="s">
        <v>555</v>
      </c>
    </row>
    <row r="29" spans="1:16" ht="9.75" customHeight="1">
      <c r="A29" s="484">
        <f>A7</f>
        <v>8</v>
      </c>
      <c r="E29" s="130"/>
      <c r="F29" s="131">
        <f>L25</f>
        <v>0</v>
      </c>
      <c r="G29" s="131">
        <v>0</v>
      </c>
      <c r="H29" s="148">
        <f>F29-G29</f>
        <v>0</v>
      </c>
      <c r="I29" s="131">
        <v>0</v>
      </c>
      <c r="K29" s="188"/>
      <c r="L29" s="130"/>
      <c r="M29" s="130"/>
      <c r="O29" s="168">
        <v>265684</v>
      </c>
      <c r="P29" s="131" t="s">
        <v>556</v>
      </c>
    </row>
    <row r="30" spans="1:16" ht="9.75" customHeight="1">
      <c r="A30" s="64"/>
      <c r="E30" s="130"/>
      <c r="F30" s="131">
        <f>K25</f>
        <v>0</v>
      </c>
      <c r="G30" s="131">
        <v>0</v>
      </c>
      <c r="H30" s="148">
        <f>F30-G30</f>
        <v>0</v>
      </c>
      <c r="K30" s="188" t="s">
        <v>307</v>
      </c>
      <c r="L30" s="131"/>
      <c r="M30" s="131">
        <f>K16</f>
        <v>0</v>
      </c>
      <c r="N30" s="131"/>
      <c r="O30" s="155">
        <f>'Remettants mars 99'!AD13</f>
        <v>4133</v>
      </c>
      <c r="P30" s="131" t="s">
        <v>557</v>
      </c>
    </row>
    <row r="31" spans="1:16" ht="9" customHeight="1">
      <c r="A31" s="133"/>
      <c r="E31" s="130"/>
      <c r="F31" s="131">
        <v>0</v>
      </c>
      <c r="G31" s="131">
        <v>0</v>
      </c>
      <c r="H31" s="148">
        <f>F31-G31</f>
        <v>0</v>
      </c>
      <c r="K31" s="188" t="s">
        <v>308</v>
      </c>
      <c r="L31" s="131"/>
      <c r="M31" s="131">
        <f>L16+L19+L22+L25</f>
        <v>441</v>
      </c>
      <c r="N31" s="131"/>
      <c r="O31" s="155">
        <v>0</v>
      </c>
      <c r="P31" s="131" t="s">
        <v>558</v>
      </c>
    </row>
    <row r="32" spans="1:16" s="130" customFormat="1" ht="9" customHeight="1">
      <c r="A32" s="141"/>
      <c r="F32" s="130">
        <v>0</v>
      </c>
      <c r="G32" s="130">
        <v>0</v>
      </c>
      <c r="H32" s="155">
        <f>F32-G32</f>
        <v>0</v>
      </c>
      <c r="I32" s="155"/>
      <c r="K32" s="153" t="s">
        <v>275</v>
      </c>
      <c r="L32" s="153"/>
      <c r="M32" s="172">
        <f>K16+L16+K19+L19+K22+L22+K25+L25+K28+L28</f>
        <v>441</v>
      </c>
      <c r="N32" s="130"/>
      <c r="O32" s="155">
        <f>'Remettants mars 99'!AD37</f>
        <v>0</v>
      </c>
      <c r="P32" s="131" t="s">
        <v>559</v>
      </c>
    </row>
    <row r="33" spans="1:16" ht="9" customHeight="1">
      <c r="A33" s="150" t="s">
        <v>230</v>
      </c>
      <c r="B33" s="151" t="s">
        <v>143</v>
      </c>
      <c r="F33" s="131">
        <v>0</v>
      </c>
      <c r="G33" s="131">
        <v>0</v>
      </c>
      <c r="H33" s="155">
        <f>F33-G33</f>
        <v>0</v>
      </c>
      <c r="I33" s="155"/>
      <c r="O33" s="155">
        <f>'Remettants mars 99'!AD49</f>
        <v>0</v>
      </c>
      <c r="P33" s="131" t="s">
        <v>560</v>
      </c>
    </row>
    <row r="34" spans="1:16" ht="9.75" customHeight="1">
      <c r="A34" s="147">
        <f>'Remettants mars 99'!AB49</f>
        <v>0</v>
      </c>
      <c r="B34" s="152">
        <f>'Remettants mars 99'!AD49</f>
        <v>0</v>
      </c>
      <c r="C34" s="139">
        <f>A34+B34</f>
        <v>0</v>
      </c>
      <c r="D34" s="153" t="s">
        <v>293</v>
      </c>
      <c r="E34" s="153">
        <f>A29</f>
        <v>8</v>
      </c>
      <c r="F34" s="193">
        <f>SUM(F29:F33)</f>
        <v>0</v>
      </c>
      <c r="G34" s="193">
        <f>SUM(G29:G33)</f>
        <v>0</v>
      </c>
      <c r="H34" s="191">
        <f>SUM(H29:H33)</f>
        <v>0</v>
      </c>
      <c r="I34" s="147">
        <f>SUM(I29:I33)</f>
        <v>0</v>
      </c>
      <c r="J34" s="139"/>
      <c r="O34" s="155">
        <v>0</v>
      </c>
      <c r="P34" s="131" t="s">
        <v>561</v>
      </c>
    </row>
    <row r="35" spans="1:16" ht="9" customHeight="1">
      <c r="A35" s="135"/>
      <c r="B35" s="130"/>
      <c r="C35" s="130"/>
      <c r="D35" s="138"/>
      <c r="E35" s="130"/>
      <c r="F35" s="130">
        <v>0</v>
      </c>
      <c r="G35" s="130">
        <v>0</v>
      </c>
      <c r="H35" s="168">
        <f>F35-G35</f>
        <v>0</v>
      </c>
      <c r="I35" s="155"/>
      <c r="J35" s="130"/>
      <c r="M35" s="241" t="s">
        <v>354</v>
      </c>
      <c r="N35" s="130" t="s">
        <v>1098</v>
      </c>
      <c r="O35" s="154">
        <v>0</v>
      </c>
      <c r="P35" s="131" t="s">
        <v>562</v>
      </c>
    </row>
    <row r="36" spans="1:16" ht="9.75" customHeight="1">
      <c r="A36" s="64"/>
      <c r="F36" s="131">
        <v>0</v>
      </c>
      <c r="G36" s="131">
        <v>0</v>
      </c>
      <c r="H36" s="155">
        <f>F36-G36</f>
        <v>0</v>
      </c>
      <c r="I36" s="155"/>
      <c r="K36" s="573" t="s">
        <v>277</v>
      </c>
      <c r="L36" s="203">
        <f>A4</f>
        <v>5</v>
      </c>
      <c r="M36" s="131">
        <f>H14</f>
        <v>15667</v>
      </c>
      <c r="N36" s="131">
        <f>F14</f>
        <v>15667</v>
      </c>
      <c r="O36" s="155">
        <v>0</v>
      </c>
      <c r="P36" s="131" t="s">
        <v>563</v>
      </c>
    </row>
    <row r="37" spans="1:16" ht="9" customHeight="1">
      <c r="A37" s="64"/>
      <c r="F37" s="131">
        <v>0</v>
      </c>
      <c r="G37" s="131">
        <v>0</v>
      </c>
      <c r="H37" s="155">
        <f>F37-G37</f>
        <v>0</v>
      </c>
      <c r="I37" s="155"/>
      <c r="K37" s="573" t="s">
        <v>277</v>
      </c>
      <c r="L37" s="574">
        <f>A5</f>
        <v>6</v>
      </c>
      <c r="M37" s="130">
        <f>H19</f>
        <v>0</v>
      </c>
      <c r="N37" s="131">
        <f>F19</f>
        <v>0</v>
      </c>
      <c r="O37" s="155">
        <v>0</v>
      </c>
      <c r="P37" s="131" t="s">
        <v>564</v>
      </c>
    </row>
    <row r="38" spans="1:16" ht="9" customHeight="1">
      <c r="A38" s="133"/>
      <c r="F38" s="131">
        <v>0</v>
      </c>
      <c r="G38" s="131">
        <v>0</v>
      </c>
      <c r="H38" s="155">
        <f>F38-G38</f>
        <v>0</v>
      </c>
      <c r="I38" s="155"/>
      <c r="K38" s="573" t="s">
        <v>277</v>
      </c>
      <c r="L38" s="203">
        <f>A6</f>
        <v>7</v>
      </c>
      <c r="M38" s="131">
        <f>H25</f>
        <v>0</v>
      </c>
      <c r="N38" s="131">
        <f>F25</f>
        <v>0</v>
      </c>
      <c r="O38" s="155">
        <v>0</v>
      </c>
      <c r="P38" s="131" t="s">
        <v>565</v>
      </c>
    </row>
    <row r="39" spans="1:16" ht="9" customHeight="1">
      <c r="A39" s="139"/>
      <c r="C39" s="139"/>
      <c r="D39" s="139"/>
      <c r="E39" s="139"/>
      <c r="F39" s="139">
        <v>0</v>
      </c>
      <c r="G39" s="139">
        <v>0</v>
      </c>
      <c r="H39" s="155">
        <f>F39-G39</f>
        <v>0</v>
      </c>
      <c r="I39" s="155"/>
      <c r="J39" s="139"/>
      <c r="K39" s="573" t="s">
        <v>277</v>
      </c>
      <c r="L39" s="203">
        <f>A7</f>
        <v>8</v>
      </c>
      <c r="M39" s="131">
        <v>0</v>
      </c>
      <c r="N39" s="131"/>
      <c r="O39" s="155">
        <v>0</v>
      </c>
      <c r="P39" s="131" t="s">
        <v>566</v>
      </c>
    </row>
    <row r="40" spans="1:16" ht="9" customHeight="1">
      <c r="A40" s="150" t="s">
        <v>230</v>
      </c>
      <c r="B40" s="160" t="s">
        <v>143</v>
      </c>
      <c r="C40" s="131">
        <f>A41+B41</f>
        <v>0</v>
      </c>
      <c r="D40" s="153" t="s">
        <v>293</v>
      </c>
      <c r="E40" s="153">
        <f>A35</f>
        <v>0</v>
      </c>
      <c r="F40" s="193">
        <f>SUM(F35:F39)</f>
        <v>0</v>
      </c>
      <c r="G40" s="194">
        <f>SUM(G35:G39)</f>
        <v>0</v>
      </c>
      <c r="H40" s="192">
        <f>SUM(H35:H39)</f>
        <v>0</v>
      </c>
      <c r="I40" s="131">
        <f>SUM(I35:I39)</f>
        <v>0</v>
      </c>
      <c r="J40" s="131"/>
      <c r="K40" s="573" t="s">
        <v>277</v>
      </c>
      <c r="L40" s="203">
        <f>A8</f>
        <v>0</v>
      </c>
      <c r="O40" s="154">
        <v>0</v>
      </c>
      <c r="P40" s="131" t="s">
        <v>567</v>
      </c>
    </row>
    <row r="41" spans="1:16" ht="9.75" customHeight="1">
      <c r="A41" s="147">
        <f>'Remettants mars 99'!AB61</f>
        <v>0</v>
      </c>
      <c r="B41" s="134">
        <f>'Remettants mars 99'!AD61</f>
        <v>0</v>
      </c>
      <c r="C41" s="161">
        <f>SUM(C12:C40)</f>
        <v>14821</v>
      </c>
      <c r="D41" s="161" t="s">
        <v>254</v>
      </c>
      <c r="E41" s="139">
        <f>B11+C11+C41</f>
        <v>348947</v>
      </c>
      <c r="F41" s="139">
        <f>SUM(F16+F22+F28+F34+F40)</f>
        <v>16108</v>
      </c>
      <c r="G41" s="139">
        <f>SUM(G16+G22+G28+G34+G40)</f>
        <v>0</v>
      </c>
      <c r="H41" s="162">
        <f>SUM(H22+H28+H34+H16+H40)</f>
        <v>16108</v>
      </c>
      <c r="I41" s="163">
        <f>I16+I22+I28+I34+I40</f>
        <v>7368</v>
      </c>
      <c r="J41" s="164">
        <f>J16+J22+J28+J39</f>
        <v>0</v>
      </c>
      <c r="K41" s="131"/>
      <c r="L41" s="131" t="s">
        <v>321</v>
      </c>
      <c r="M41" s="131">
        <f>SUM(M36:M40)</f>
        <v>15667</v>
      </c>
      <c r="N41" s="131">
        <f>SUM(N36:N38)</f>
        <v>15667</v>
      </c>
      <c r="O41" s="155">
        <v>0</v>
      </c>
      <c r="P41" s="131" t="s">
        <v>568</v>
      </c>
    </row>
    <row r="42" spans="1:16" ht="9.75" customHeight="1">
      <c r="A42" s="206" t="s">
        <v>277</v>
      </c>
      <c r="B42" s="207">
        <f>A4</f>
        <v>5</v>
      </c>
      <c r="C42" s="143"/>
      <c r="D42" s="208" t="s">
        <v>277</v>
      </c>
      <c r="E42" s="207">
        <f>A5</f>
        <v>6</v>
      </c>
      <c r="F42" s="143"/>
      <c r="G42" s="143"/>
      <c r="H42" s="143" t="s">
        <v>110</v>
      </c>
      <c r="I42" s="166" t="s">
        <v>1137</v>
      </c>
      <c r="J42" s="167" t="s">
        <v>155</v>
      </c>
      <c r="K42" s="143"/>
      <c r="L42" s="143"/>
      <c r="M42" s="143"/>
      <c r="O42" s="154">
        <v>0</v>
      </c>
      <c r="P42" s="131" t="s">
        <v>569</v>
      </c>
    </row>
    <row r="43" spans="1:16" ht="9.75" customHeight="1">
      <c r="A43" s="150" t="s">
        <v>106</v>
      </c>
      <c r="B43" s="169" t="s">
        <v>107</v>
      </c>
      <c r="C43" s="151" t="s">
        <v>108</v>
      </c>
      <c r="D43" s="150" t="s">
        <v>106</v>
      </c>
      <c r="E43" s="169" t="s">
        <v>107</v>
      </c>
      <c r="F43" s="151" t="s">
        <v>108</v>
      </c>
      <c r="G43" s="131"/>
      <c r="H43" s="133" t="s">
        <v>157</v>
      </c>
      <c r="O43" s="155">
        <v>0</v>
      </c>
      <c r="P43" s="131" t="s">
        <v>570</v>
      </c>
    </row>
    <row r="44" spans="1:16" ht="9.75" customHeight="1">
      <c r="A44" s="155" t="s">
        <v>1136</v>
      </c>
      <c r="B44" s="130"/>
      <c r="C44" s="170" t="s">
        <v>109</v>
      </c>
      <c r="D44" s="155" t="s">
        <v>1136</v>
      </c>
      <c r="E44" s="130"/>
      <c r="F44" s="170" t="s">
        <v>109</v>
      </c>
      <c r="G44" s="206" t="s">
        <v>277</v>
      </c>
      <c r="H44" s="207">
        <f>A8</f>
        <v>0</v>
      </c>
      <c r="I44" s="143"/>
      <c r="J44" s="171" t="s">
        <v>104</v>
      </c>
      <c r="K44" s="131"/>
      <c r="L44" s="162">
        <f>M47+I41+J41</f>
        <v>62479</v>
      </c>
      <c r="O44" s="155">
        <v>0</v>
      </c>
      <c r="P44" s="131" t="s">
        <v>571</v>
      </c>
    </row>
    <row r="45" spans="1:16" ht="10.5" customHeight="1">
      <c r="A45" s="147">
        <f>F4+F16</f>
        <v>62908</v>
      </c>
      <c r="B45" s="139">
        <f>G4+G16</f>
        <v>7797</v>
      </c>
      <c r="C45" s="172">
        <f>A45-B45</f>
        <v>55111</v>
      </c>
      <c r="D45" s="147">
        <f>F5+F22</f>
        <v>0</v>
      </c>
      <c r="E45" s="139">
        <f>G5+G22</f>
        <v>0</v>
      </c>
      <c r="F45" s="172">
        <f>D45-E45</f>
        <v>0</v>
      </c>
      <c r="G45" s="150" t="s">
        <v>106</v>
      </c>
      <c r="H45" s="169" t="s">
        <v>107</v>
      </c>
      <c r="I45" s="151" t="s">
        <v>108</v>
      </c>
      <c r="J45" s="135" t="s">
        <v>156</v>
      </c>
      <c r="O45" s="155">
        <v>0</v>
      </c>
      <c r="P45" s="131" t="s">
        <v>1101</v>
      </c>
    </row>
    <row r="46" spans="1:16" ht="9.75" customHeight="1">
      <c r="A46" s="206" t="s">
        <v>277</v>
      </c>
      <c r="B46" s="207">
        <f>A6</f>
        <v>7</v>
      </c>
      <c r="C46" s="143"/>
      <c r="D46" s="208" t="s">
        <v>277</v>
      </c>
      <c r="E46" s="165">
        <f>A7</f>
        <v>8</v>
      </c>
      <c r="F46" s="143"/>
      <c r="G46" s="155" t="s">
        <v>1136</v>
      </c>
      <c r="H46" s="130"/>
      <c r="I46" s="170" t="s">
        <v>109</v>
      </c>
      <c r="O46" s="168">
        <f>SUM(O29:O45)</f>
        <v>269817</v>
      </c>
      <c r="P46" s="131" t="s">
        <v>295</v>
      </c>
    </row>
    <row r="47" spans="1:16" ht="9.75" customHeight="1" thickBot="1">
      <c r="A47" s="150" t="s">
        <v>106</v>
      </c>
      <c r="B47" s="169" t="s">
        <v>107</v>
      </c>
      <c r="C47" s="151" t="s">
        <v>108</v>
      </c>
      <c r="D47" s="150" t="s">
        <v>106</v>
      </c>
      <c r="E47" s="169" t="s">
        <v>107</v>
      </c>
      <c r="F47" s="151" t="s">
        <v>108</v>
      </c>
      <c r="G47" s="147">
        <f>F8+F40</f>
        <v>0</v>
      </c>
      <c r="H47" s="139">
        <f>G8+G40</f>
        <v>0</v>
      </c>
      <c r="I47" s="172">
        <f>G47-H47</f>
        <v>0</v>
      </c>
      <c r="J47" s="135" t="s">
        <v>158</v>
      </c>
      <c r="M47" s="164">
        <f>C45+F45+C49+F49+I47</f>
        <v>55111</v>
      </c>
      <c r="N47" s="131"/>
      <c r="O47" s="131">
        <f>N41</f>
        <v>15667</v>
      </c>
      <c r="P47" s="135" t="s">
        <v>165</v>
      </c>
    </row>
    <row r="48" spans="1:16" ht="11.25" customHeight="1" thickBot="1">
      <c r="A48" s="155" t="s">
        <v>1136</v>
      </c>
      <c r="B48" s="130"/>
      <c r="C48" s="170" t="s">
        <v>109</v>
      </c>
      <c r="D48" s="155" t="s">
        <v>1136</v>
      </c>
      <c r="E48" s="130"/>
      <c r="F48" s="170" t="s">
        <v>109</v>
      </c>
      <c r="G48" s="173" t="s">
        <v>279</v>
      </c>
      <c r="H48" s="173"/>
      <c r="I48" s="144"/>
      <c r="O48" s="210">
        <f>O46-O47</f>
        <v>254150</v>
      </c>
      <c r="P48" s="211" t="s">
        <v>6</v>
      </c>
    </row>
    <row r="49" spans="1:16" ht="13.5" customHeight="1">
      <c r="A49" s="147">
        <f>F6+F28</f>
        <v>0</v>
      </c>
      <c r="B49" s="139">
        <f>G6+G28</f>
        <v>0</v>
      </c>
      <c r="C49" s="172">
        <f>A49-B49</f>
        <v>0</v>
      </c>
      <c r="D49" s="147">
        <f>F7+F34</f>
        <v>0</v>
      </c>
      <c r="E49" s="139">
        <f>G7+G34</f>
        <v>0</v>
      </c>
      <c r="F49" s="172">
        <f>D49-E49</f>
        <v>0</v>
      </c>
      <c r="G49" s="135">
        <f>F9+F41</f>
        <v>62908</v>
      </c>
      <c r="H49" s="131" t="s">
        <v>292</v>
      </c>
      <c r="I49" s="131"/>
      <c r="J49" s="135" t="s">
        <v>225</v>
      </c>
      <c r="K49" s="130"/>
      <c r="L49" s="130"/>
      <c r="M49" s="209">
        <f ca="1">NOW()</f>
        <v>34767.93440208333</v>
      </c>
      <c r="N49" s="253">
        <f>N4+O23+O48</f>
        <v>345595</v>
      </c>
      <c r="O49" s="131"/>
      <c r="P49" s="135" t="s">
        <v>154</v>
      </c>
    </row>
    <row r="50" ht="9" customHeight="1"/>
    <row r="51" spans="2:8" ht="9" customHeight="1">
      <c r="B51" s="146"/>
      <c r="H51" s="135"/>
    </row>
    <row r="52" spans="2:14" ht="9" customHeight="1">
      <c r="B52" s="146"/>
      <c r="H52" s="130"/>
      <c r="I52" s="130"/>
      <c r="J52" s="130"/>
      <c r="K52" s="130"/>
      <c r="L52" s="130"/>
      <c r="M52" s="130"/>
      <c r="N52" s="130"/>
    </row>
    <row r="53" spans="2:14" ht="9.75" customHeight="1">
      <c r="B53" s="146"/>
      <c r="C53" s="146"/>
      <c r="H53" s="130"/>
      <c r="I53" s="130"/>
      <c r="J53" s="130"/>
      <c r="K53" s="130"/>
      <c r="L53" s="130"/>
      <c r="M53" s="130"/>
      <c r="N53" s="130"/>
    </row>
    <row r="54" spans="2:14" ht="9.75" customHeight="1">
      <c r="B54" s="146"/>
      <c r="C54" s="146"/>
      <c r="H54" s="130"/>
      <c r="I54" s="130"/>
      <c r="J54" s="130"/>
      <c r="K54" s="130"/>
      <c r="L54" s="130"/>
      <c r="M54" s="130"/>
      <c r="N54" s="130"/>
    </row>
    <row r="55" spans="2:14" ht="9.75" customHeight="1">
      <c r="B55" s="146"/>
      <c r="C55" s="146"/>
      <c r="H55" s="130"/>
      <c r="I55" s="130"/>
      <c r="J55" s="130"/>
      <c r="K55" s="130"/>
      <c r="L55" s="130"/>
      <c r="M55" s="130"/>
      <c r="N55" s="130"/>
    </row>
    <row r="56" spans="2:14" ht="9.75" customHeight="1">
      <c r="B56" s="146"/>
      <c r="C56" s="146"/>
      <c r="H56" s="130"/>
      <c r="I56" s="130"/>
      <c r="J56" s="130"/>
      <c r="K56" s="130"/>
      <c r="L56" s="130"/>
      <c r="M56" s="130"/>
      <c r="N56" s="130"/>
    </row>
    <row r="57" spans="2:14" ht="9.75" customHeight="1">
      <c r="B57" s="146"/>
      <c r="C57" s="146"/>
      <c r="J57" s="130"/>
      <c r="K57" s="130"/>
      <c r="L57" s="130"/>
      <c r="M57" s="130"/>
      <c r="N57" s="130"/>
    </row>
    <row r="58" spans="2:14" ht="9.75" customHeight="1">
      <c r="B58" s="146"/>
      <c r="C58" s="146"/>
      <c r="J58" s="130"/>
      <c r="K58" s="130"/>
      <c r="L58" s="130"/>
      <c r="M58" s="130"/>
      <c r="N58" s="130"/>
    </row>
    <row r="59" spans="10:14" ht="9.75" customHeight="1">
      <c r="J59" s="130"/>
      <c r="K59" s="130"/>
      <c r="L59" s="130"/>
      <c r="M59" s="130"/>
      <c r="N59" s="130"/>
    </row>
    <row r="60" spans="10:14" ht="9.75" customHeight="1">
      <c r="J60" s="130"/>
      <c r="K60" s="130"/>
      <c r="L60" s="130"/>
      <c r="M60" s="130"/>
      <c r="N60" s="130"/>
    </row>
    <row r="61" spans="10:14" ht="9.75" customHeight="1">
      <c r="J61" s="130"/>
      <c r="K61" s="130"/>
      <c r="L61" s="130"/>
      <c r="M61" s="130"/>
      <c r="N61" s="130"/>
    </row>
    <row r="62" spans="10:14" ht="9.75" customHeight="1">
      <c r="J62" s="130"/>
      <c r="K62" s="130"/>
      <c r="L62" s="130"/>
      <c r="M62" s="130"/>
      <c r="N62" s="130"/>
    </row>
    <row r="63" spans="10:14" ht="9.75" customHeight="1">
      <c r="J63" s="130"/>
      <c r="K63" s="130"/>
      <c r="L63" s="130"/>
      <c r="M63" s="130"/>
      <c r="N63" s="130"/>
    </row>
    <row r="64" spans="3:14" ht="9.75" customHeight="1">
      <c r="C64" s="130"/>
      <c r="J64" s="130"/>
      <c r="K64" s="130"/>
      <c r="L64" s="130"/>
      <c r="M64" s="130"/>
      <c r="N64" s="130"/>
    </row>
    <row r="65" ht="9.75" customHeight="1">
      <c r="C65" s="212"/>
    </row>
    <row r="70" spans="2:3" ht="9.75" customHeight="1">
      <c r="B70" s="130"/>
      <c r="C70" s="130"/>
    </row>
    <row r="73" ht="9.75" customHeight="1">
      <c r="B73" s="135"/>
    </row>
    <row r="75" ht="9.75" customHeight="1">
      <c r="D75" s="135"/>
    </row>
    <row r="76" spans="2:4" ht="9.75" customHeight="1">
      <c r="B76" s="135"/>
      <c r="D76" s="135"/>
    </row>
    <row r="78" ht="9.75" customHeight="1">
      <c r="C78" s="135"/>
    </row>
  </sheetData>
  <mergeCells count="2">
    <mergeCell ref="O24:P24"/>
    <mergeCell ref="O1:P1"/>
  </mergeCells>
  <printOptions/>
  <pageMargins left="0.7874015748031497" right="0.7874015748031497" top="0.5905511811023623" bottom="0.5905511811023623" header="0.31496062992125984" footer="0.31496062992125984"/>
  <pageSetup horizontalDpi="300" verticalDpi="300" orientation="landscape" paperSize="9" scale="92" r:id="rId3"/>
  <headerFooter alignWithMargins="0">
    <oddHeader>&amp;LDe Ski&amp;C&amp;A&amp;RConfidentiel/Ghu</oddHeader>
    <oddFooter>&amp;CMouvement des Stocks  Piles et Accu &amp;D&amp;RPage &amp;P</oddFooter>
  </headerFooter>
  <rowBreaks count="1" manualBreakCount="1">
    <brk id="53" max="255" man="1"/>
  </rowBreaks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euil113"/>
  <dimension ref="A1:R78"/>
  <sheetViews>
    <sheetView workbookViewId="0" topLeftCell="A1">
      <selection activeCell="D35" sqref="D35"/>
    </sheetView>
  </sheetViews>
  <sheetFormatPr defaultColWidth="11.421875" defaultRowHeight="9.75" customHeight="1"/>
  <cols>
    <col min="1" max="1" width="8.00390625" style="131" customWidth="1"/>
    <col min="2" max="2" width="9.140625" style="131" customWidth="1"/>
    <col min="3" max="4" width="8.7109375" style="131" customWidth="1"/>
    <col min="5" max="5" width="10.421875" style="131" customWidth="1"/>
    <col min="6" max="8" width="8.7109375" style="131" customWidth="1"/>
    <col min="9" max="9" width="10.140625" style="131" customWidth="1"/>
    <col min="10" max="10" width="6.57421875" style="131" customWidth="1"/>
    <col min="11" max="11" width="8.7109375" style="131" customWidth="1"/>
    <col min="12" max="12" width="8.57421875" style="131" customWidth="1"/>
    <col min="13" max="13" width="8.7109375" style="131" customWidth="1"/>
    <col min="14" max="14" width="9.421875" style="131" customWidth="1"/>
    <col min="15" max="15" width="9.140625" style="131" customWidth="1"/>
    <col min="16" max="16" width="9.28125" style="131" customWidth="1"/>
    <col min="17" max="17" width="8.7109375" style="131" customWidth="1"/>
    <col min="18" max="16384" width="11.421875" style="131" customWidth="1"/>
  </cols>
  <sheetData>
    <row r="1" spans="1:16" ht="30.75" customHeight="1">
      <c r="A1" s="128" t="s">
        <v>95</v>
      </c>
      <c r="B1" s="128" t="s">
        <v>96</v>
      </c>
      <c r="C1" s="128" t="s">
        <v>97</v>
      </c>
      <c r="D1" s="128" t="s">
        <v>98</v>
      </c>
      <c r="E1" s="128" t="s">
        <v>99</v>
      </c>
      <c r="F1" s="128" t="s">
        <v>100</v>
      </c>
      <c r="G1" s="128" t="s">
        <v>101</v>
      </c>
      <c r="H1" s="129" t="s">
        <v>105</v>
      </c>
      <c r="I1" s="129" t="s">
        <v>296</v>
      </c>
      <c r="J1" s="129" t="s">
        <v>309</v>
      </c>
      <c r="K1" s="129" t="s">
        <v>290</v>
      </c>
      <c r="L1" s="255" t="s">
        <v>239</v>
      </c>
      <c r="M1" s="555" t="s">
        <v>235</v>
      </c>
      <c r="N1" s="556" t="s">
        <v>291</v>
      </c>
      <c r="O1" s="643" t="s">
        <v>973</v>
      </c>
      <c r="P1" s="644"/>
    </row>
    <row r="2" spans="1:16" ht="10.5" customHeight="1">
      <c r="A2" s="132"/>
      <c r="B2" s="132"/>
      <c r="C2" s="132"/>
      <c r="D2" s="132"/>
      <c r="E2" s="132">
        <f>C3+SUM(D4:D8)</f>
        <v>93554</v>
      </c>
      <c r="F2" s="132"/>
      <c r="G2" s="132"/>
      <c r="I2" s="132"/>
      <c r="J2" s="132"/>
      <c r="K2" s="132"/>
      <c r="L2" s="132"/>
      <c r="M2" s="132"/>
      <c r="N2" s="375" t="s">
        <v>983</v>
      </c>
      <c r="O2" s="169">
        <v>0</v>
      </c>
      <c r="P2" s="131" t="s">
        <v>993</v>
      </c>
    </row>
    <row r="3" spans="1:16" ht="9.75" customHeight="1">
      <c r="A3" s="482"/>
      <c r="B3" s="133" t="s">
        <v>103</v>
      </c>
      <c r="C3" s="134">
        <v>24832</v>
      </c>
      <c r="E3" s="130"/>
      <c r="F3" s="130"/>
      <c r="G3" s="130"/>
      <c r="H3" s="130"/>
      <c r="I3" s="130"/>
      <c r="L3" s="130"/>
      <c r="M3" s="130"/>
      <c r="N3" s="170"/>
      <c r="O3" s="130">
        <v>0</v>
      </c>
      <c r="P3" s="131" t="s">
        <v>554</v>
      </c>
    </row>
    <row r="4" spans="1:16" s="130" customFormat="1" ht="10.5" customHeight="1">
      <c r="A4" s="482">
        <v>5</v>
      </c>
      <c r="D4" s="131">
        <f>'Remettants mars 99'!E13</f>
        <v>45412</v>
      </c>
      <c r="E4" s="130"/>
      <c r="F4" s="130">
        <v>46800</v>
      </c>
      <c r="G4" s="130">
        <f>'bdoVPZ RT mars  99'!T9</f>
        <v>7797</v>
      </c>
      <c r="H4" s="130">
        <f>F4-G4</f>
        <v>39003</v>
      </c>
      <c r="I4" s="205">
        <f>G4/F4</f>
        <v>0.1666025641025641</v>
      </c>
      <c r="K4" s="140"/>
      <c r="M4" s="387"/>
      <c r="N4" s="375">
        <f>E2-F9</f>
        <v>-5936</v>
      </c>
      <c r="O4" s="130">
        <f>'Remettants mars 99'!AB25</f>
        <v>0</v>
      </c>
      <c r="P4" s="131" t="s">
        <v>555</v>
      </c>
    </row>
    <row r="5" spans="1:16" ht="9" customHeight="1">
      <c r="A5" s="482">
        <v>6</v>
      </c>
      <c r="D5" s="130">
        <f>'Remettants mars 99'!E25</f>
        <v>23310</v>
      </c>
      <c r="E5" s="131"/>
      <c r="F5" s="131">
        <v>52690</v>
      </c>
      <c r="G5" s="131">
        <f>'bdoVPZ RT mars  99'!T17</f>
        <v>0</v>
      </c>
      <c r="H5" s="130">
        <f>F5-G5</f>
        <v>52690</v>
      </c>
      <c r="I5" s="205">
        <f>G5/F5</f>
        <v>0</v>
      </c>
      <c r="L5" s="130"/>
      <c r="M5" s="203"/>
      <c r="O5" s="155">
        <f>'Remettants mars 99'!AB37</f>
        <v>0</v>
      </c>
      <c r="P5" s="131" t="s">
        <v>556</v>
      </c>
    </row>
    <row r="6" spans="1:16" ht="9" customHeight="1">
      <c r="A6" s="482">
        <v>7</v>
      </c>
      <c r="D6" s="131">
        <v>0</v>
      </c>
      <c r="E6" s="131"/>
      <c r="F6" s="144">
        <v>0</v>
      </c>
      <c r="G6" s="144">
        <f>'bdoVPZ RT mars  99'!T25</f>
        <v>0</v>
      </c>
      <c r="H6" s="146">
        <f>F6-G6</f>
        <v>0</v>
      </c>
      <c r="I6" s="205">
        <v>0</v>
      </c>
      <c r="L6" s="130"/>
      <c r="M6" s="203"/>
      <c r="O6" s="155">
        <f>'Remettants mars 99'!AB49</f>
        <v>0</v>
      </c>
      <c r="P6" s="131" t="s">
        <v>557</v>
      </c>
    </row>
    <row r="7" spans="1:17" ht="9" customHeight="1">
      <c r="A7" s="482">
        <v>8</v>
      </c>
      <c r="B7" s="130"/>
      <c r="C7" s="130"/>
      <c r="D7" s="131">
        <v>0</v>
      </c>
      <c r="E7" s="131"/>
      <c r="F7" s="130">
        <v>0</v>
      </c>
      <c r="G7" s="131">
        <f>'bdoVPZ RT mars  99'!T33</f>
        <v>0</v>
      </c>
      <c r="H7" s="130">
        <f>F7-G7</f>
        <v>0</v>
      </c>
      <c r="I7" s="205">
        <v>0</v>
      </c>
      <c r="J7" s="130"/>
      <c r="M7" s="130"/>
      <c r="O7" s="488">
        <v>0</v>
      </c>
      <c r="P7" s="131" t="s">
        <v>558</v>
      </c>
      <c r="Q7" s="130"/>
    </row>
    <row r="8" spans="1:17" ht="9.75" customHeight="1" thickBot="1">
      <c r="A8" s="482"/>
      <c r="B8" s="130"/>
      <c r="C8" s="130"/>
      <c r="D8" s="130">
        <v>0</v>
      </c>
      <c r="E8" s="131"/>
      <c r="F8" s="131">
        <v>0</v>
      </c>
      <c r="G8" s="130">
        <f>'bdoVPZ RT mars  99'!T41</f>
        <v>0</v>
      </c>
      <c r="H8" s="130">
        <f>F8-G8</f>
        <v>0</v>
      </c>
      <c r="I8" s="205">
        <v>0</v>
      </c>
      <c r="J8" s="130"/>
      <c r="O8" s="489">
        <v>0</v>
      </c>
      <c r="P8" s="131" t="s">
        <v>559</v>
      </c>
      <c r="Q8" s="130"/>
    </row>
    <row r="9" spans="1:16" ht="11.25" customHeight="1" thickBot="1">
      <c r="A9" s="483"/>
      <c r="B9" s="130"/>
      <c r="C9" s="130"/>
      <c r="D9" s="130">
        <f>SUM(D4:D8)</f>
        <v>68722</v>
      </c>
      <c r="E9" s="252" t="s">
        <v>364</v>
      </c>
      <c r="F9" s="250">
        <f>SUM(F3:F8)</f>
        <v>99490</v>
      </c>
      <c r="G9" s="250">
        <f>SUM(G4:G8)</f>
        <v>7797</v>
      </c>
      <c r="H9" s="251">
        <f>H4+H5+H6+H7+H8</f>
        <v>91693</v>
      </c>
      <c r="I9" s="205">
        <f>G9/F9</f>
        <v>0.07836968539551714</v>
      </c>
      <c r="J9" s="130"/>
      <c r="K9" s="136"/>
      <c r="L9" s="139"/>
      <c r="O9" s="155">
        <v>0</v>
      </c>
      <c r="P9" s="131" t="s">
        <v>560</v>
      </c>
    </row>
    <row r="10" spans="1:17" ht="9.75" customHeight="1">
      <c r="A10" s="143"/>
      <c r="B10" s="143" t="s">
        <v>224</v>
      </c>
      <c r="C10" s="143" t="s">
        <v>223</v>
      </c>
      <c r="D10" s="143" t="s">
        <v>278</v>
      </c>
      <c r="E10" s="143" t="s">
        <v>302</v>
      </c>
      <c r="F10" s="143"/>
      <c r="G10" s="143"/>
      <c r="H10" s="143"/>
      <c r="I10" s="557" t="s">
        <v>338</v>
      </c>
      <c r="J10" s="143"/>
      <c r="K10" s="143"/>
      <c r="L10" s="156" t="s">
        <v>204</v>
      </c>
      <c r="M10" s="189"/>
      <c r="N10" s="144"/>
      <c r="O10" s="154">
        <v>0</v>
      </c>
      <c r="P10" s="131" t="s">
        <v>561</v>
      </c>
      <c r="Q10" s="146"/>
    </row>
    <row r="11" spans="1:16" ht="9" customHeight="1">
      <c r="A11" s="190" t="s">
        <v>277</v>
      </c>
      <c r="B11" s="139">
        <v>68442</v>
      </c>
      <c r="C11" s="139">
        <v>265684</v>
      </c>
      <c r="D11" s="139">
        <f>SUM(B11:C11)</f>
        <v>334126</v>
      </c>
      <c r="E11" s="139">
        <f>C3+D11</f>
        <v>358958</v>
      </c>
      <c r="F11" s="139"/>
      <c r="G11" s="139"/>
      <c r="H11" s="147"/>
      <c r="I11" s="135" t="s">
        <v>296</v>
      </c>
      <c r="J11" s="135" t="s">
        <v>153</v>
      </c>
      <c r="K11" s="157" t="s">
        <v>205</v>
      </c>
      <c r="L11" s="131" t="s">
        <v>229</v>
      </c>
      <c r="M11" s="130"/>
      <c r="O11" s="155">
        <v>0</v>
      </c>
      <c r="P11" s="131" t="s">
        <v>562</v>
      </c>
    </row>
    <row r="12" spans="1:18" ht="9" customHeight="1">
      <c r="A12" s="484">
        <f>A4</f>
        <v>5</v>
      </c>
      <c r="B12" s="130"/>
      <c r="D12" s="130"/>
      <c r="E12" s="130" t="s">
        <v>975</v>
      </c>
      <c r="F12" s="131">
        <v>441</v>
      </c>
      <c r="G12" s="131">
        <v>0</v>
      </c>
      <c r="H12" s="148">
        <f>F12-G12</f>
        <v>441</v>
      </c>
      <c r="I12" s="141">
        <f>'Mixt&amp;Batt.mars 99 SKI (2)'!J14</f>
        <v>7368</v>
      </c>
      <c r="J12" s="130">
        <v>0</v>
      </c>
      <c r="K12" s="168" t="s">
        <v>282</v>
      </c>
      <c r="L12" s="135" t="s">
        <v>282</v>
      </c>
      <c r="O12" s="155">
        <v>0</v>
      </c>
      <c r="P12" s="131" t="s">
        <v>563</v>
      </c>
      <c r="R12" s="130"/>
    </row>
    <row r="13" spans="1:18" ht="9.75" customHeight="1">
      <c r="A13" s="141"/>
      <c r="B13" s="130"/>
      <c r="C13" s="130"/>
      <c r="D13" s="149"/>
      <c r="F13" s="131">
        <v>0</v>
      </c>
      <c r="G13" s="131">
        <v>0</v>
      </c>
      <c r="H13" s="148">
        <f>F13-G13</f>
        <v>0</v>
      </c>
      <c r="I13" s="133">
        <v>0</v>
      </c>
      <c r="J13" s="131">
        <v>0</v>
      </c>
      <c r="K13" s="201">
        <v>0</v>
      </c>
      <c r="L13" s="202">
        <v>68442</v>
      </c>
      <c r="M13" s="200" t="s">
        <v>276</v>
      </c>
      <c r="N13" s="217">
        <v>68442</v>
      </c>
      <c r="O13" s="155">
        <v>0</v>
      </c>
      <c r="P13" s="131" t="s">
        <v>564</v>
      </c>
      <c r="R13" s="212"/>
    </row>
    <row r="14" spans="5:16" ht="9" customHeight="1">
      <c r="E14" s="130" t="s">
        <v>294</v>
      </c>
      <c r="F14" s="131">
        <v>15667</v>
      </c>
      <c r="G14" s="131">
        <f>'bdoCH RT      99'!U41</f>
        <v>0</v>
      </c>
      <c r="H14" s="148">
        <f>F14-G14</f>
        <v>15667</v>
      </c>
      <c r="I14" s="133">
        <v>0</v>
      </c>
      <c r="J14" s="131">
        <v>0</v>
      </c>
      <c r="K14" s="188" t="s">
        <v>972</v>
      </c>
      <c r="L14" s="158"/>
      <c r="M14" s="485">
        <f>A4</f>
        <v>5</v>
      </c>
      <c r="N14" s="131"/>
      <c r="O14" s="155">
        <v>0</v>
      </c>
      <c r="P14" s="131" t="s">
        <v>565</v>
      </c>
    </row>
    <row r="15" spans="1:16" ht="9" customHeight="1">
      <c r="A15" s="150" t="s">
        <v>230</v>
      </c>
      <c r="B15" s="151" t="s">
        <v>143</v>
      </c>
      <c r="F15" s="131">
        <f>SUM(C15:E15)</f>
        <v>0</v>
      </c>
      <c r="G15" s="131">
        <v>0</v>
      </c>
      <c r="H15" s="148">
        <f>F15-G15</f>
        <v>0</v>
      </c>
      <c r="I15" s="133">
        <v>0</v>
      </c>
      <c r="J15" s="131">
        <v>0</v>
      </c>
      <c r="K15" s="155" t="s">
        <v>273</v>
      </c>
      <c r="L15" s="130" t="s">
        <v>274</v>
      </c>
      <c r="M15" s="130"/>
      <c r="O15" s="155">
        <v>0</v>
      </c>
      <c r="P15" s="131" t="s">
        <v>566</v>
      </c>
    </row>
    <row r="16" spans="1:16" ht="9" customHeight="1">
      <c r="A16" s="147">
        <f>'Remettants mars 99'!AB13</f>
        <v>10688</v>
      </c>
      <c r="B16" s="152">
        <f>'Remettants mars 99'!AD13</f>
        <v>4133</v>
      </c>
      <c r="C16" s="139">
        <f>A16+B16</f>
        <v>14821</v>
      </c>
      <c r="D16" s="153" t="s">
        <v>293</v>
      </c>
      <c r="E16" s="153">
        <f>A12</f>
        <v>5</v>
      </c>
      <c r="F16" s="193">
        <f>SUM(F12:F15)</f>
        <v>16108</v>
      </c>
      <c r="G16" s="193">
        <f>SUM(G12:G15)</f>
        <v>0</v>
      </c>
      <c r="H16" s="193">
        <f>SUM(H12:H15)</f>
        <v>16108</v>
      </c>
      <c r="I16" s="153">
        <f>SUM(I12:I15)</f>
        <v>7368</v>
      </c>
      <c r="J16" s="153">
        <v>0</v>
      </c>
      <c r="K16" s="155">
        <v>0</v>
      </c>
      <c r="L16" s="131">
        <f>F12</f>
        <v>441</v>
      </c>
      <c r="N16" s="142"/>
      <c r="O16" s="155">
        <v>0</v>
      </c>
      <c r="P16" s="131" t="s">
        <v>567</v>
      </c>
    </row>
    <row r="17" spans="1:16" ht="9" customHeight="1">
      <c r="A17" s="484">
        <f>A5</f>
        <v>6</v>
      </c>
      <c r="B17" s="130"/>
      <c r="C17" s="130"/>
      <c r="D17" s="130"/>
      <c r="E17" s="130" t="s">
        <v>975</v>
      </c>
      <c r="F17" s="131">
        <v>2323</v>
      </c>
      <c r="G17" s="131">
        <v>0</v>
      </c>
      <c r="H17" s="148">
        <f>F17-G17</f>
        <v>2323</v>
      </c>
      <c r="I17" s="131">
        <v>10131</v>
      </c>
      <c r="J17" s="130">
        <v>0</v>
      </c>
      <c r="K17" s="188" t="s">
        <v>972</v>
      </c>
      <c r="L17" s="131"/>
      <c r="M17" s="486">
        <f>A5</f>
        <v>6</v>
      </c>
      <c r="N17" s="131"/>
      <c r="O17" s="155">
        <v>0</v>
      </c>
      <c r="P17" s="131" t="s">
        <v>568</v>
      </c>
    </row>
    <row r="18" spans="1:16" ht="9" customHeight="1">
      <c r="A18" s="133"/>
      <c r="B18" s="130"/>
      <c r="D18" s="130"/>
      <c r="F18" s="131">
        <v>0</v>
      </c>
      <c r="G18" s="131">
        <v>0</v>
      </c>
      <c r="H18" s="148">
        <f>F18-G18</f>
        <v>0</v>
      </c>
      <c r="I18" s="131">
        <v>0</v>
      </c>
      <c r="J18" s="130">
        <v>0</v>
      </c>
      <c r="K18" s="155" t="s">
        <v>273</v>
      </c>
      <c r="L18" s="130" t="s">
        <v>274</v>
      </c>
      <c r="M18" s="130"/>
      <c r="O18" s="155">
        <v>0</v>
      </c>
      <c r="P18" s="131" t="s">
        <v>569</v>
      </c>
    </row>
    <row r="19" spans="5:16" ht="9" customHeight="1">
      <c r="E19" s="130" t="s">
        <v>294</v>
      </c>
      <c r="F19" s="131">
        <v>21443</v>
      </c>
      <c r="G19" s="131">
        <f>'bdoCH RT      99'!T17</f>
        <v>0</v>
      </c>
      <c r="H19" s="148">
        <f>F19-G19</f>
        <v>21443</v>
      </c>
      <c r="I19" s="131">
        <v>0</v>
      </c>
      <c r="J19" s="131">
        <v>0</v>
      </c>
      <c r="K19" s="155">
        <v>0</v>
      </c>
      <c r="L19" s="131">
        <f>F17</f>
        <v>2323</v>
      </c>
      <c r="N19" s="130"/>
      <c r="O19" s="155">
        <v>0</v>
      </c>
      <c r="P19" s="131" t="s">
        <v>570</v>
      </c>
    </row>
    <row r="20" spans="6:16" ht="9" customHeight="1">
      <c r="F20" s="131">
        <v>0</v>
      </c>
      <c r="G20" s="131">
        <v>0</v>
      </c>
      <c r="H20" s="148">
        <f>F20-G20</f>
        <v>0</v>
      </c>
      <c r="K20" s="188" t="s">
        <v>301</v>
      </c>
      <c r="L20" s="131"/>
      <c r="M20" s="487">
        <f>A6</f>
        <v>7</v>
      </c>
      <c r="N20" s="130"/>
      <c r="O20" s="147">
        <v>0</v>
      </c>
      <c r="P20" s="139" t="s">
        <v>571</v>
      </c>
    </row>
    <row r="21" spans="1:16" ht="9" customHeight="1">
      <c r="A21" s="150" t="s">
        <v>230</v>
      </c>
      <c r="B21" s="151" t="s">
        <v>143</v>
      </c>
      <c r="F21" s="131">
        <v>0</v>
      </c>
      <c r="G21" s="131">
        <v>0</v>
      </c>
      <c r="H21" s="148">
        <f>F21-G21</f>
        <v>0</v>
      </c>
      <c r="K21" s="155" t="s">
        <v>273</v>
      </c>
      <c r="L21" s="130" t="s">
        <v>274</v>
      </c>
      <c r="M21" s="130"/>
      <c r="O21" s="168">
        <f>SUM(O2:O20)</f>
        <v>0</v>
      </c>
      <c r="P21" s="131" t="s">
        <v>974</v>
      </c>
    </row>
    <row r="22" spans="1:16" ht="9.75" customHeight="1">
      <c r="A22" s="147">
        <f>'Remettants mars 99'!AB25</f>
        <v>0</v>
      </c>
      <c r="B22" s="152">
        <f>'Remettants mars 99'!AD25</f>
        <v>15700</v>
      </c>
      <c r="C22" s="139">
        <f>SUM(A22:B22)</f>
        <v>15700</v>
      </c>
      <c r="D22" s="153" t="s">
        <v>293</v>
      </c>
      <c r="E22" s="153">
        <f>A17</f>
        <v>6</v>
      </c>
      <c r="F22" s="193">
        <f>SUM(F17:F21)</f>
        <v>23766</v>
      </c>
      <c r="G22" s="193">
        <f>SUM(G17:G21)</f>
        <v>0</v>
      </c>
      <c r="H22" s="192">
        <f>SUM(H17:H21)</f>
        <v>23766</v>
      </c>
      <c r="I22" s="153">
        <f>SUM(I17:I21)</f>
        <v>10131</v>
      </c>
      <c r="J22" s="153">
        <f>SUM(J17:J21)</f>
        <v>0</v>
      </c>
      <c r="K22" s="155"/>
      <c r="L22" s="131">
        <f>F23</f>
        <v>0</v>
      </c>
      <c r="M22" s="135"/>
      <c r="O22" s="131">
        <f>L16+L19+L22+L25</f>
        <v>2764</v>
      </c>
      <c r="P22" s="131" t="s">
        <v>165</v>
      </c>
    </row>
    <row r="23" spans="1:16" ht="10.5" customHeight="1">
      <c r="A23" s="484">
        <f>A6</f>
        <v>7</v>
      </c>
      <c r="E23" s="130" t="s">
        <v>975</v>
      </c>
      <c r="F23" s="131">
        <v>0</v>
      </c>
      <c r="G23" s="131">
        <v>0</v>
      </c>
      <c r="H23" s="148">
        <f>F23-G23</f>
        <v>0</v>
      </c>
      <c r="I23" s="131">
        <v>0</v>
      </c>
      <c r="J23" s="131"/>
      <c r="K23" s="188" t="s">
        <v>301</v>
      </c>
      <c r="L23" s="131"/>
      <c r="M23" s="486">
        <f>A7</f>
        <v>8</v>
      </c>
      <c r="N23" s="131"/>
      <c r="O23" s="135">
        <f>N13+O21-O22</f>
        <v>65678</v>
      </c>
      <c r="P23" s="131" t="s">
        <v>358</v>
      </c>
    </row>
    <row r="24" spans="1:16" ht="9" customHeight="1">
      <c r="A24" s="133"/>
      <c r="E24" s="130"/>
      <c r="F24" s="131">
        <v>0</v>
      </c>
      <c r="G24" s="131">
        <v>0</v>
      </c>
      <c r="H24" s="148">
        <f>F24-G24</f>
        <v>0</v>
      </c>
      <c r="K24" s="155" t="s">
        <v>273</v>
      </c>
      <c r="L24" s="130" t="s">
        <v>274</v>
      </c>
      <c r="M24" s="130"/>
      <c r="O24" s="641" t="s">
        <v>263</v>
      </c>
      <c r="P24" s="642"/>
    </row>
    <row r="25" spans="1:15" ht="9" customHeight="1">
      <c r="A25" s="141"/>
      <c r="E25" s="130" t="s">
        <v>294</v>
      </c>
      <c r="F25" s="131">
        <v>0</v>
      </c>
      <c r="G25" s="131">
        <v>0</v>
      </c>
      <c r="H25" s="148">
        <f>F25-G25</f>
        <v>0</v>
      </c>
      <c r="K25" s="155">
        <v>0</v>
      </c>
      <c r="L25" s="131">
        <v>0</v>
      </c>
      <c r="M25" s="137"/>
      <c r="O25" s="447">
        <v>318572</v>
      </c>
    </row>
    <row r="26" spans="5:18" ht="9" customHeight="1">
      <c r="E26" s="130"/>
      <c r="F26" s="131">
        <v>0</v>
      </c>
      <c r="G26" s="131">
        <v>0</v>
      </c>
      <c r="H26" s="148">
        <f>F26-G26</f>
        <v>0</v>
      </c>
      <c r="K26" s="188" t="s">
        <v>301</v>
      </c>
      <c r="M26" s="486"/>
      <c r="O26" s="155"/>
      <c r="P26" s="131" t="s">
        <v>993</v>
      </c>
      <c r="R26" s="130"/>
    </row>
    <row r="27" spans="1:16" ht="9" customHeight="1">
      <c r="A27" s="150" t="s">
        <v>230</v>
      </c>
      <c r="B27" s="151" t="s">
        <v>143</v>
      </c>
      <c r="E27" s="130"/>
      <c r="F27" s="131">
        <v>0</v>
      </c>
      <c r="G27" s="131">
        <v>0</v>
      </c>
      <c r="H27" s="148">
        <f>F27-G27</f>
        <v>0</v>
      </c>
      <c r="K27" s="155" t="s">
        <v>273</v>
      </c>
      <c r="L27" s="130" t="s">
        <v>274</v>
      </c>
      <c r="M27" s="130"/>
      <c r="O27" s="155"/>
      <c r="P27" s="131" t="s">
        <v>554</v>
      </c>
    </row>
    <row r="28" spans="1:16" ht="9" customHeight="1">
      <c r="A28" s="147">
        <v>0</v>
      </c>
      <c r="B28" s="152">
        <v>0</v>
      </c>
      <c r="C28" s="139">
        <f>A28+B28</f>
        <v>0</v>
      </c>
      <c r="D28" s="153" t="s">
        <v>293</v>
      </c>
      <c r="E28" s="153">
        <f>A23</f>
        <v>7</v>
      </c>
      <c r="F28" s="193">
        <f>SUM(F23:F27)</f>
        <v>0</v>
      </c>
      <c r="G28" s="193">
        <f>SUM(G23:G27)</f>
        <v>0</v>
      </c>
      <c r="H28" s="192">
        <f>SUM(H23:H27)</f>
        <v>0</v>
      </c>
      <c r="I28" s="139">
        <f>SUM(I23:I27)</f>
        <v>0</v>
      </c>
      <c r="J28" s="139"/>
      <c r="K28" s="155"/>
      <c r="L28" s="130"/>
      <c r="M28" s="135"/>
      <c r="O28" s="155"/>
      <c r="P28" s="131" t="s">
        <v>555</v>
      </c>
    </row>
    <row r="29" spans="1:16" ht="9.75" customHeight="1">
      <c r="A29" s="484">
        <f>A7</f>
        <v>8</v>
      </c>
      <c r="E29" s="130"/>
      <c r="F29" s="131">
        <f>L25</f>
        <v>0</v>
      </c>
      <c r="G29" s="131">
        <v>0</v>
      </c>
      <c r="H29" s="148">
        <f>F29-G29</f>
        <v>0</v>
      </c>
      <c r="I29" s="131">
        <v>0</v>
      </c>
      <c r="K29" s="188"/>
      <c r="L29" s="130"/>
      <c r="M29" s="130"/>
      <c r="O29" s="168">
        <v>265684</v>
      </c>
      <c r="P29" s="131" t="s">
        <v>556</v>
      </c>
    </row>
    <row r="30" spans="1:16" ht="9.75" customHeight="1">
      <c r="A30" s="64"/>
      <c r="E30" s="130"/>
      <c r="F30" s="131">
        <f>K25</f>
        <v>0</v>
      </c>
      <c r="G30" s="131">
        <v>0</v>
      </c>
      <c r="H30" s="148">
        <f>F30-G30</f>
        <v>0</v>
      </c>
      <c r="K30" s="188" t="s">
        <v>307</v>
      </c>
      <c r="L30" s="131"/>
      <c r="M30" s="131">
        <f>K16</f>
        <v>0</v>
      </c>
      <c r="N30" s="131"/>
      <c r="O30" s="155">
        <f>'Remettants mars 99'!AD13</f>
        <v>4133</v>
      </c>
      <c r="P30" s="131" t="s">
        <v>557</v>
      </c>
    </row>
    <row r="31" spans="1:16" ht="9" customHeight="1">
      <c r="A31" s="133"/>
      <c r="E31" s="130"/>
      <c r="F31" s="131">
        <v>0</v>
      </c>
      <c r="G31" s="131">
        <v>0</v>
      </c>
      <c r="H31" s="148">
        <f>F31-G31</f>
        <v>0</v>
      </c>
      <c r="K31" s="188" t="s">
        <v>308</v>
      </c>
      <c r="L31" s="131"/>
      <c r="M31" s="131">
        <f>L16+L19+L22+L25</f>
        <v>2764</v>
      </c>
      <c r="N31" s="131"/>
      <c r="O31" s="155">
        <f>'Remettants mars 99'!AD25</f>
        <v>15700</v>
      </c>
      <c r="P31" s="131" t="s">
        <v>558</v>
      </c>
    </row>
    <row r="32" spans="1:16" s="130" customFormat="1" ht="9" customHeight="1">
      <c r="A32" s="141"/>
      <c r="F32" s="130">
        <v>0</v>
      </c>
      <c r="G32" s="130">
        <v>0</v>
      </c>
      <c r="H32" s="155">
        <f>F32-G32</f>
        <v>0</v>
      </c>
      <c r="I32" s="155"/>
      <c r="K32" s="153" t="s">
        <v>275</v>
      </c>
      <c r="L32" s="153"/>
      <c r="M32" s="172">
        <f>K16+L16+K19+L19+K22+L22+K25+L25+K28+L28</f>
        <v>2764</v>
      </c>
      <c r="N32" s="130"/>
      <c r="O32" s="155">
        <v>0</v>
      </c>
      <c r="P32" s="131" t="s">
        <v>559</v>
      </c>
    </row>
    <row r="33" spans="1:16" ht="9" customHeight="1">
      <c r="A33" s="150" t="s">
        <v>230</v>
      </c>
      <c r="B33" s="151" t="s">
        <v>143</v>
      </c>
      <c r="F33" s="131">
        <v>0</v>
      </c>
      <c r="G33" s="131">
        <v>0</v>
      </c>
      <c r="H33" s="155">
        <f>F33-G33</f>
        <v>0</v>
      </c>
      <c r="I33" s="155"/>
      <c r="O33" s="155">
        <v>0</v>
      </c>
      <c r="P33" s="131" t="s">
        <v>560</v>
      </c>
    </row>
    <row r="34" spans="1:16" ht="9.75" customHeight="1">
      <c r="A34" s="147">
        <v>0</v>
      </c>
      <c r="B34" s="152">
        <v>0</v>
      </c>
      <c r="C34" s="139">
        <f>A34+B34</f>
        <v>0</v>
      </c>
      <c r="D34" s="153" t="s">
        <v>293</v>
      </c>
      <c r="E34" s="153">
        <f>A29</f>
        <v>8</v>
      </c>
      <c r="F34" s="193">
        <f>SUM(F29:F33)</f>
        <v>0</v>
      </c>
      <c r="G34" s="193">
        <f>SUM(G29:G33)</f>
        <v>0</v>
      </c>
      <c r="H34" s="191">
        <f>SUM(H29:H33)</f>
        <v>0</v>
      </c>
      <c r="I34" s="147">
        <f>SUM(I29:I33)</f>
        <v>0</v>
      </c>
      <c r="J34" s="139"/>
      <c r="O34" s="155">
        <v>0</v>
      </c>
      <c r="P34" s="131" t="s">
        <v>561</v>
      </c>
    </row>
    <row r="35" spans="1:16" ht="9" customHeight="1">
      <c r="A35" s="135"/>
      <c r="B35" s="130"/>
      <c r="C35" s="130"/>
      <c r="D35" s="138"/>
      <c r="E35" s="130"/>
      <c r="F35" s="130">
        <v>0</v>
      </c>
      <c r="G35" s="130">
        <v>0</v>
      </c>
      <c r="H35" s="168">
        <f>F35-G35</f>
        <v>0</v>
      </c>
      <c r="I35" s="155"/>
      <c r="J35" s="130"/>
      <c r="M35" s="241" t="s">
        <v>354</v>
      </c>
      <c r="N35" s="130" t="s">
        <v>1098</v>
      </c>
      <c r="O35" s="154">
        <v>0</v>
      </c>
      <c r="P35" s="131" t="s">
        <v>562</v>
      </c>
    </row>
    <row r="36" spans="1:16" ht="9.75" customHeight="1">
      <c r="A36" s="64"/>
      <c r="F36" s="131">
        <v>0</v>
      </c>
      <c r="G36" s="131">
        <v>0</v>
      </c>
      <c r="H36" s="155">
        <f>F36-G36</f>
        <v>0</v>
      </c>
      <c r="I36" s="155"/>
      <c r="K36" s="573" t="s">
        <v>277</v>
      </c>
      <c r="L36" s="203">
        <f>A4</f>
        <v>5</v>
      </c>
      <c r="M36" s="131">
        <f>H14</f>
        <v>15667</v>
      </c>
      <c r="N36" s="131">
        <f>F14</f>
        <v>15667</v>
      </c>
      <c r="O36" s="155">
        <v>0</v>
      </c>
      <c r="P36" s="131" t="s">
        <v>563</v>
      </c>
    </row>
    <row r="37" spans="1:16" ht="9" customHeight="1">
      <c r="A37" s="64"/>
      <c r="F37" s="131">
        <v>0</v>
      </c>
      <c r="G37" s="131">
        <v>0</v>
      </c>
      <c r="H37" s="155">
        <f>F37-G37</f>
        <v>0</v>
      </c>
      <c r="I37" s="155"/>
      <c r="K37" s="573" t="s">
        <v>277</v>
      </c>
      <c r="L37" s="574">
        <f>A5</f>
        <v>6</v>
      </c>
      <c r="M37" s="130">
        <f>H19</f>
        <v>21443</v>
      </c>
      <c r="N37" s="131">
        <f>F19</f>
        <v>21443</v>
      </c>
      <c r="O37" s="155">
        <v>0</v>
      </c>
      <c r="P37" s="131" t="s">
        <v>564</v>
      </c>
    </row>
    <row r="38" spans="1:16" ht="9" customHeight="1">
      <c r="A38" s="133"/>
      <c r="F38" s="131">
        <v>0</v>
      </c>
      <c r="G38" s="131">
        <v>0</v>
      </c>
      <c r="H38" s="155">
        <f>F38-G38</f>
        <v>0</v>
      </c>
      <c r="I38" s="155"/>
      <c r="K38" s="573" t="s">
        <v>277</v>
      </c>
      <c r="L38" s="203">
        <f>A6</f>
        <v>7</v>
      </c>
      <c r="M38" s="131">
        <f>H25</f>
        <v>0</v>
      </c>
      <c r="N38" s="131">
        <f>F25</f>
        <v>0</v>
      </c>
      <c r="O38" s="155">
        <v>0</v>
      </c>
      <c r="P38" s="131" t="s">
        <v>565</v>
      </c>
    </row>
    <row r="39" spans="1:16" ht="9" customHeight="1">
      <c r="A39" s="139"/>
      <c r="C39" s="139"/>
      <c r="D39" s="139"/>
      <c r="E39" s="139"/>
      <c r="F39" s="139">
        <v>0</v>
      </c>
      <c r="G39" s="139">
        <v>0</v>
      </c>
      <c r="H39" s="155">
        <f>F39-G39</f>
        <v>0</v>
      </c>
      <c r="I39" s="155"/>
      <c r="J39" s="139"/>
      <c r="K39" s="573" t="s">
        <v>277</v>
      </c>
      <c r="L39" s="203">
        <f>A7</f>
        <v>8</v>
      </c>
      <c r="M39" s="131">
        <v>0</v>
      </c>
      <c r="N39" s="131"/>
      <c r="O39" s="155">
        <v>0</v>
      </c>
      <c r="P39" s="131" t="s">
        <v>566</v>
      </c>
    </row>
    <row r="40" spans="1:16" ht="9" customHeight="1">
      <c r="A40" s="150" t="s">
        <v>230</v>
      </c>
      <c r="B40" s="160" t="s">
        <v>143</v>
      </c>
      <c r="C40" s="131">
        <f>A41+B41</f>
        <v>0</v>
      </c>
      <c r="D40" s="153" t="s">
        <v>293</v>
      </c>
      <c r="E40" s="153">
        <f>A35</f>
        <v>0</v>
      </c>
      <c r="F40" s="193">
        <f>SUM(F35:F39)</f>
        <v>0</v>
      </c>
      <c r="G40" s="194">
        <f>SUM(G35:G39)</f>
        <v>0</v>
      </c>
      <c r="H40" s="192">
        <f>SUM(H35:H39)</f>
        <v>0</v>
      </c>
      <c r="I40" s="131">
        <f>SUM(I35:I39)</f>
        <v>0</v>
      </c>
      <c r="J40" s="131"/>
      <c r="K40" s="573" t="s">
        <v>277</v>
      </c>
      <c r="L40" s="203">
        <f>A8</f>
        <v>0</v>
      </c>
      <c r="O40" s="154">
        <v>0</v>
      </c>
      <c r="P40" s="131" t="s">
        <v>567</v>
      </c>
    </row>
    <row r="41" spans="1:16" ht="9.75" customHeight="1">
      <c r="A41" s="147">
        <v>0</v>
      </c>
      <c r="B41" s="134">
        <v>0</v>
      </c>
      <c r="C41" s="161">
        <f>SUM(C12:C40)</f>
        <v>30521</v>
      </c>
      <c r="D41" s="161" t="s">
        <v>254</v>
      </c>
      <c r="E41" s="139">
        <f>B11+C11+C41</f>
        <v>364647</v>
      </c>
      <c r="F41" s="139">
        <f>SUM(F16+F22+F28+F34+F40)</f>
        <v>39874</v>
      </c>
      <c r="G41" s="139">
        <f>SUM(G16+G22+G28+G34+G40)</f>
        <v>0</v>
      </c>
      <c r="H41" s="162">
        <f>SUM(H22+H28+H34+H16+H40)</f>
        <v>39874</v>
      </c>
      <c r="I41" s="163">
        <f>I16+I22+I28+I34+I40</f>
        <v>17499</v>
      </c>
      <c r="J41" s="164">
        <f>J16+J22+J28+J39</f>
        <v>0</v>
      </c>
      <c r="K41" s="131"/>
      <c r="L41" s="131" t="s">
        <v>321</v>
      </c>
      <c r="M41" s="131">
        <f>SUM(M36:M40)</f>
        <v>37110</v>
      </c>
      <c r="N41" s="131">
        <f>SUM(N36:N38)</f>
        <v>37110</v>
      </c>
      <c r="O41" s="155">
        <v>0</v>
      </c>
      <c r="P41" s="131" t="s">
        <v>568</v>
      </c>
    </row>
    <row r="42" spans="1:16" ht="9.75" customHeight="1">
      <c r="A42" s="206" t="s">
        <v>277</v>
      </c>
      <c r="B42" s="207">
        <f>A4</f>
        <v>5</v>
      </c>
      <c r="C42" s="143"/>
      <c r="D42" s="208" t="s">
        <v>277</v>
      </c>
      <c r="E42" s="207">
        <f>A5</f>
        <v>6</v>
      </c>
      <c r="F42" s="143"/>
      <c r="G42" s="143"/>
      <c r="H42" s="143" t="s">
        <v>110</v>
      </c>
      <c r="I42" s="166" t="s">
        <v>1137</v>
      </c>
      <c r="J42" s="167" t="s">
        <v>155</v>
      </c>
      <c r="K42" s="143"/>
      <c r="L42" s="143"/>
      <c r="M42" s="143"/>
      <c r="O42" s="154">
        <v>0</v>
      </c>
      <c r="P42" s="131" t="s">
        <v>569</v>
      </c>
    </row>
    <row r="43" spans="1:16" ht="9.75" customHeight="1">
      <c r="A43" s="150" t="s">
        <v>106</v>
      </c>
      <c r="B43" s="169" t="s">
        <v>107</v>
      </c>
      <c r="C43" s="151" t="s">
        <v>108</v>
      </c>
      <c r="D43" s="150" t="s">
        <v>106</v>
      </c>
      <c r="E43" s="169" t="s">
        <v>107</v>
      </c>
      <c r="F43" s="151" t="s">
        <v>108</v>
      </c>
      <c r="G43" s="131"/>
      <c r="H43" s="133" t="s">
        <v>157</v>
      </c>
      <c r="O43" s="155">
        <v>0</v>
      </c>
      <c r="P43" s="131" t="s">
        <v>570</v>
      </c>
    </row>
    <row r="44" spans="1:16" ht="9.75" customHeight="1">
      <c r="A44" s="155" t="s">
        <v>1136</v>
      </c>
      <c r="B44" s="130"/>
      <c r="C44" s="170" t="s">
        <v>109</v>
      </c>
      <c r="D44" s="155" t="s">
        <v>1136</v>
      </c>
      <c r="E44" s="130"/>
      <c r="F44" s="170" t="s">
        <v>109</v>
      </c>
      <c r="G44" s="206" t="s">
        <v>277</v>
      </c>
      <c r="H44" s="207">
        <f>A8</f>
        <v>0</v>
      </c>
      <c r="I44" s="143"/>
      <c r="J44" s="171" t="s">
        <v>104</v>
      </c>
      <c r="K44" s="131"/>
      <c r="L44" s="162">
        <f>M47+I41+J41</f>
        <v>149066</v>
      </c>
      <c r="O44" s="155">
        <v>0</v>
      </c>
      <c r="P44" s="131" t="s">
        <v>571</v>
      </c>
    </row>
    <row r="45" spans="1:16" ht="10.5" customHeight="1">
      <c r="A45" s="147">
        <f>F4+F16</f>
        <v>62908</v>
      </c>
      <c r="B45" s="139">
        <f>G4+G16</f>
        <v>7797</v>
      </c>
      <c r="C45" s="172">
        <f>A45-B45</f>
        <v>55111</v>
      </c>
      <c r="D45" s="147">
        <f>F5+F22</f>
        <v>76456</v>
      </c>
      <c r="E45" s="139">
        <f>G5+G22</f>
        <v>0</v>
      </c>
      <c r="F45" s="172">
        <f>D45-E45</f>
        <v>76456</v>
      </c>
      <c r="G45" s="150" t="s">
        <v>106</v>
      </c>
      <c r="H45" s="169" t="s">
        <v>107</v>
      </c>
      <c r="I45" s="151" t="s">
        <v>108</v>
      </c>
      <c r="J45" s="135" t="s">
        <v>156</v>
      </c>
      <c r="O45" s="155">
        <v>0</v>
      </c>
      <c r="P45" s="131" t="s">
        <v>1101</v>
      </c>
    </row>
    <row r="46" spans="1:16" ht="9.75" customHeight="1">
      <c r="A46" s="206" t="s">
        <v>277</v>
      </c>
      <c r="B46" s="207">
        <f>A6</f>
        <v>7</v>
      </c>
      <c r="C46" s="143"/>
      <c r="D46" s="208" t="s">
        <v>277</v>
      </c>
      <c r="E46" s="165">
        <f>A7</f>
        <v>8</v>
      </c>
      <c r="F46" s="143"/>
      <c r="G46" s="155" t="s">
        <v>1136</v>
      </c>
      <c r="H46" s="130"/>
      <c r="I46" s="170" t="s">
        <v>109</v>
      </c>
      <c r="O46" s="168">
        <f>SUM(O29:O45)</f>
        <v>285517</v>
      </c>
      <c r="P46" s="131" t="s">
        <v>295</v>
      </c>
    </row>
    <row r="47" spans="1:16" ht="9.75" customHeight="1" thickBot="1">
      <c r="A47" s="150" t="s">
        <v>106</v>
      </c>
      <c r="B47" s="169" t="s">
        <v>107</v>
      </c>
      <c r="C47" s="151" t="s">
        <v>108</v>
      </c>
      <c r="D47" s="150" t="s">
        <v>106</v>
      </c>
      <c r="E47" s="169" t="s">
        <v>107</v>
      </c>
      <c r="F47" s="151" t="s">
        <v>108</v>
      </c>
      <c r="G47" s="147">
        <f>F8+F40</f>
        <v>0</v>
      </c>
      <c r="H47" s="139">
        <f>G8+G40</f>
        <v>0</v>
      </c>
      <c r="I47" s="172">
        <f>G47-H47</f>
        <v>0</v>
      </c>
      <c r="J47" s="135" t="s">
        <v>158</v>
      </c>
      <c r="M47" s="164">
        <f>C45+F45+C49+F49+I47</f>
        <v>131567</v>
      </c>
      <c r="N47" s="131"/>
      <c r="O47" s="131">
        <f>N41</f>
        <v>37110</v>
      </c>
      <c r="P47" s="135" t="s">
        <v>165</v>
      </c>
    </row>
    <row r="48" spans="1:16" ht="11.25" customHeight="1" thickBot="1">
      <c r="A48" s="155" t="s">
        <v>1136</v>
      </c>
      <c r="B48" s="130"/>
      <c r="C48" s="170" t="s">
        <v>109</v>
      </c>
      <c r="D48" s="155" t="s">
        <v>1136</v>
      </c>
      <c r="E48" s="130"/>
      <c r="F48" s="170" t="s">
        <v>109</v>
      </c>
      <c r="G48" s="173" t="s">
        <v>279</v>
      </c>
      <c r="H48" s="173"/>
      <c r="I48" s="144"/>
      <c r="O48" s="210">
        <f>O46-O47</f>
        <v>248407</v>
      </c>
      <c r="P48" s="211" t="s">
        <v>6</v>
      </c>
    </row>
    <row r="49" spans="1:16" ht="13.5" customHeight="1">
      <c r="A49" s="147">
        <f>F6+F28</f>
        <v>0</v>
      </c>
      <c r="B49" s="139">
        <f>G6+G28</f>
        <v>0</v>
      </c>
      <c r="C49" s="172">
        <f>A49-B49</f>
        <v>0</v>
      </c>
      <c r="D49" s="147">
        <f>F7+F34</f>
        <v>0</v>
      </c>
      <c r="E49" s="139">
        <f>G7+G34</f>
        <v>0</v>
      </c>
      <c r="F49" s="172">
        <f>D49-E49</f>
        <v>0</v>
      </c>
      <c r="G49" s="135">
        <f>F9+F41</f>
        <v>139364</v>
      </c>
      <c r="H49" s="131" t="s">
        <v>292</v>
      </c>
      <c r="I49" s="131"/>
      <c r="J49" s="135" t="s">
        <v>225</v>
      </c>
      <c r="K49" s="130"/>
      <c r="L49" s="130"/>
      <c r="M49" s="209">
        <f ca="1">NOW()</f>
        <v>34767.93440208333</v>
      </c>
      <c r="N49" s="253">
        <f>N4+O23+O48</f>
        <v>308149</v>
      </c>
      <c r="O49" s="131"/>
      <c r="P49" s="135" t="s">
        <v>154</v>
      </c>
    </row>
    <row r="50" ht="9" customHeight="1"/>
    <row r="51" spans="2:8" ht="9" customHeight="1">
      <c r="B51" s="146"/>
      <c r="H51" s="135"/>
    </row>
    <row r="52" spans="2:14" ht="9" customHeight="1">
      <c r="B52" s="146"/>
      <c r="H52" s="130"/>
      <c r="I52" s="130"/>
      <c r="J52" s="130"/>
      <c r="K52" s="130"/>
      <c r="L52" s="130"/>
      <c r="M52" s="130"/>
      <c r="N52" s="130"/>
    </row>
    <row r="53" spans="2:14" ht="9.75" customHeight="1">
      <c r="B53" s="146"/>
      <c r="C53" s="146"/>
      <c r="H53" s="130"/>
      <c r="I53" s="130"/>
      <c r="J53" s="130"/>
      <c r="K53" s="130"/>
      <c r="L53" s="130"/>
      <c r="M53" s="130"/>
      <c r="N53" s="130"/>
    </row>
    <row r="54" spans="2:14" ht="9.75" customHeight="1">
      <c r="B54" s="146"/>
      <c r="C54" s="146"/>
      <c r="H54" s="130"/>
      <c r="I54" s="130"/>
      <c r="J54" s="130"/>
      <c r="K54" s="130"/>
      <c r="L54" s="130"/>
      <c r="M54" s="130"/>
      <c r="N54" s="130"/>
    </row>
    <row r="55" spans="2:14" ht="9.75" customHeight="1">
      <c r="B55" s="146"/>
      <c r="C55" s="146"/>
      <c r="H55" s="130"/>
      <c r="I55" s="130"/>
      <c r="J55" s="130"/>
      <c r="K55" s="130"/>
      <c r="L55" s="130"/>
      <c r="M55" s="130"/>
      <c r="N55" s="130"/>
    </row>
    <row r="56" spans="2:14" ht="9.75" customHeight="1">
      <c r="B56" s="146"/>
      <c r="C56" s="146"/>
      <c r="H56" s="130"/>
      <c r="I56" s="130"/>
      <c r="J56" s="130"/>
      <c r="K56" s="130"/>
      <c r="L56" s="130"/>
      <c r="M56" s="130"/>
      <c r="N56" s="130"/>
    </row>
    <row r="57" spans="2:14" ht="9.75" customHeight="1">
      <c r="B57" s="146"/>
      <c r="C57" s="146"/>
      <c r="J57" s="130"/>
      <c r="K57" s="130"/>
      <c r="L57" s="130"/>
      <c r="M57" s="130"/>
      <c r="N57" s="130"/>
    </row>
    <row r="58" spans="2:14" ht="9.75" customHeight="1">
      <c r="B58" s="146"/>
      <c r="C58" s="146"/>
      <c r="J58" s="130"/>
      <c r="K58" s="130"/>
      <c r="L58" s="130"/>
      <c r="M58" s="130"/>
      <c r="N58" s="130"/>
    </row>
    <row r="59" spans="10:14" ht="9.75" customHeight="1">
      <c r="J59" s="130"/>
      <c r="K59" s="130"/>
      <c r="L59" s="130"/>
      <c r="M59" s="130"/>
      <c r="N59" s="130"/>
    </row>
    <row r="60" spans="10:14" ht="9.75" customHeight="1">
      <c r="J60" s="130"/>
      <c r="K60" s="130"/>
      <c r="L60" s="130"/>
      <c r="M60" s="130"/>
      <c r="N60" s="130"/>
    </row>
    <row r="61" spans="10:14" ht="9.75" customHeight="1">
      <c r="J61" s="130"/>
      <c r="K61" s="130"/>
      <c r="L61" s="130"/>
      <c r="M61" s="130"/>
      <c r="N61" s="130"/>
    </row>
    <row r="62" spans="10:14" ht="9.75" customHeight="1">
      <c r="J62" s="130"/>
      <c r="K62" s="130"/>
      <c r="L62" s="130"/>
      <c r="M62" s="130"/>
      <c r="N62" s="130"/>
    </row>
    <row r="63" spans="10:14" ht="9.75" customHeight="1">
      <c r="J63" s="130"/>
      <c r="K63" s="130"/>
      <c r="L63" s="130"/>
      <c r="M63" s="130"/>
      <c r="N63" s="130"/>
    </row>
    <row r="64" spans="3:14" ht="9.75" customHeight="1">
      <c r="C64" s="130"/>
      <c r="J64" s="130"/>
      <c r="K64" s="130"/>
      <c r="L64" s="130"/>
      <c r="M64" s="130"/>
      <c r="N64" s="130"/>
    </row>
    <row r="65" ht="9.75" customHeight="1">
      <c r="C65" s="212"/>
    </row>
    <row r="70" spans="2:3" ht="9.75" customHeight="1">
      <c r="B70" s="130"/>
      <c r="C70" s="130"/>
    </row>
    <row r="73" ht="9.75" customHeight="1">
      <c r="B73" s="135"/>
    </row>
    <row r="75" ht="9.75" customHeight="1">
      <c r="D75" s="135"/>
    </row>
    <row r="76" spans="2:4" ht="9.75" customHeight="1">
      <c r="B76" s="135"/>
      <c r="D76" s="135"/>
    </row>
    <row r="78" ht="9.75" customHeight="1">
      <c r="C78" s="135"/>
    </row>
  </sheetData>
  <mergeCells count="2">
    <mergeCell ref="O24:P24"/>
    <mergeCell ref="O1:P1"/>
  </mergeCells>
  <printOptions/>
  <pageMargins left="0.7874015748031497" right="0.7874015748031497" top="0.5905511811023623" bottom="0.5905511811023623" header="0.31496062992125984" footer="0.31496062992125984"/>
  <pageSetup horizontalDpi="300" verticalDpi="300" orientation="landscape" paperSize="9" scale="92" r:id="rId3"/>
  <headerFooter alignWithMargins="0">
    <oddHeader>&amp;LDe Ski&amp;C&amp;A&amp;RConfidentiel/Ghu</oddHeader>
    <oddFooter>&amp;CMouvement des Stocks  Piles et Accu &amp;D&amp;RPage &amp;P</oddFooter>
  </headerFooter>
  <rowBreaks count="1" manualBreakCount="1">
    <brk id="53" max="255" man="1"/>
  </rowBreaks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codeName="Feuil114"/>
  <dimension ref="A1:R78"/>
  <sheetViews>
    <sheetView workbookViewId="0" topLeftCell="F1">
      <selection activeCell="G4" sqref="G4:G8"/>
    </sheetView>
  </sheetViews>
  <sheetFormatPr defaultColWidth="11.421875" defaultRowHeight="9.75" customHeight="1"/>
  <cols>
    <col min="1" max="1" width="8.00390625" style="131" customWidth="1"/>
    <col min="2" max="2" width="9.140625" style="131" customWidth="1"/>
    <col min="3" max="4" width="8.7109375" style="131" customWidth="1"/>
    <col min="5" max="5" width="10.421875" style="131" customWidth="1"/>
    <col min="6" max="8" width="8.7109375" style="131" customWidth="1"/>
    <col min="9" max="9" width="10.140625" style="131" customWidth="1"/>
    <col min="10" max="10" width="6.57421875" style="131" customWidth="1"/>
    <col min="11" max="11" width="8.7109375" style="131" customWidth="1"/>
    <col min="12" max="12" width="8.57421875" style="131" customWidth="1"/>
    <col min="13" max="13" width="8.7109375" style="131" customWidth="1"/>
    <col min="14" max="14" width="9.421875" style="131" customWidth="1"/>
    <col min="15" max="15" width="9.140625" style="131" customWidth="1"/>
    <col min="16" max="16" width="9.28125" style="131" customWidth="1"/>
    <col min="17" max="17" width="8.7109375" style="131" customWidth="1"/>
    <col min="18" max="16384" width="11.421875" style="131" customWidth="1"/>
  </cols>
  <sheetData>
    <row r="1" spans="1:16" ht="30.75" customHeight="1">
      <c r="A1" s="128" t="s">
        <v>95</v>
      </c>
      <c r="B1" s="128" t="s">
        <v>96</v>
      </c>
      <c r="C1" s="128" t="s">
        <v>97</v>
      </c>
      <c r="D1" s="128" t="s">
        <v>98</v>
      </c>
      <c r="E1" s="128" t="s">
        <v>99</v>
      </c>
      <c r="F1" s="128" t="s">
        <v>100</v>
      </c>
      <c r="G1" s="128" t="s">
        <v>101</v>
      </c>
      <c r="H1" s="129" t="s">
        <v>105</v>
      </c>
      <c r="I1" s="129" t="s">
        <v>296</v>
      </c>
      <c r="J1" s="129" t="s">
        <v>309</v>
      </c>
      <c r="K1" s="129" t="s">
        <v>290</v>
      </c>
      <c r="L1" s="255" t="s">
        <v>239</v>
      </c>
      <c r="M1" s="555" t="s">
        <v>235</v>
      </c>
      <c r="N1" s="556" t="s">
        <v>291</v>
      </c>
      <c r="O1" s="643" t="s">
        <v>973</v>
      </c>
      <c r="P1" s="644"/>
    </row>
    <row r="2" spans="1:16" ht="10.5" customHeight="1">
      <c r="A2" s="132"/>
      <c r="B2" s="132"/>
      <c r="C2" s="132"/>
      <c r="D2" s="132"/>
      <c r="E2" s="132">
        <f>C3+SUM(D4:D8)</f>
        <v>93554</v>
      </c>
      <c r="F2" s="132"/>
      <c r="G2" s="132"/>
      <c r="I2" s="132"/>
      <c r="J2" s="132"/>
      <c r="K2" s="132"/>
      <c r="L2" s="132"/>
      <c r="M2" s="132"/>
      <c r="N2" s="375" t="s">
        <v>983</v>
      </c>
      <c r="O2" s="169">
        <v>0</v>
      </c>
      <c r="P2" s="131" t="s">
        <v>993</v>
      </c>
    </row>
    <row r="3" spans="1:16" ht="9.75" customHeight="1">
      <c r="A3" s="482"/>
      <c r="B3" s="133" t="s">
        <v>103</v>
      </c>
      <c r="C3" s="134">
        <v>24832</v>
      </c>
      <c r="E3" s="130"/>
      <c r="F3" s="130"/>
      <c r="G3" s="130"/>
      <c r="H3" s="130"/>
      <c r="I3" s="130"/>
      <c r="L3" s="130"/>
      <c r="M3" s="130"/>
      <c r="N3" s="170"/>
      <c r="O3" s="130">
        <v>0</v>
      </c>
      <c r="P3" s="131" t="s">
        <v>554</v>
      </c>
    </row>
    <row r="4" spans="1:16" s="130" customFormat="1" ht="10.5" customHeight="1">
      <c r="A4" s="482">
        <v>5</v>
      </c>
      <c r="D4" s="131">
        <f>'Remettants mars 99'!E13</f>
        <v>45412</v>
      </c>
      <c r="E4" s="130"/>
      <c r="F4" s="130">
        <v>46800</v>
      </c>
      <c r="G4" s="130">
        <f>'bdoVPZ RT mars  99'!T9</f>
        <v>7797</v>
      </c>
      <c r="H4" s="130">
        <f>F4-G4</f>
        <v>39003</v>
      </c>
      <c r="I4" s="205">
        <f>G4/F4</f>
        <v>0.1666025641025641</v>
      </c>
      <c r="K4" s="140"/>
      <c r="M4" s="387"/>
      <c r="N4" s="375">
        <f>E2-F9</f>
        <v>-53336</v>
      </c>
      <c r="O4" s="130">
        <f>'Remettants mars 99'!AB25</f>
        <v>0</v>
      </c>
      <c r="P4" s="131" t="s">
        <v>555</v>
      </c>
    </row>
    <row r="5" spans="1:16" ht="9" customHeight="1">
      <c r="A5" s="482">
        <v>6</v>
      </c>
      <c r="D5" s="130">
        <f>'Remettants mars 99'!E25</f>
        <v>23310</v>
      </c>
      <c r="E5" s="131"/>
      <c r="F5" s="131">
        <v>52690</v>
      </c>
      <c r="G5" s="131">
        <f>'bdoVPZ RT mars  99'!T17</f>
        <v>0</v>
      </c>
      <c r="H5" s="130">
        <f>F5-G5</f>
        <v>52690</v>
      </c>
      <c r="I5" s="205">
        <f>G5/F5</f>
        <v>0</v>
      </c>
      <c r="L5" s="130"/>
      <c r="M5" s="203"/>
      <c r="O5" s="155">
        <f>'Remettants mars 99'!AB37</f>
        <v>0</v>
      </c>
      <c r="P5" s="131" t="s">
        <v>556</v>
      </c>
    </row>
    <row r="6" spans="1:16" ht="9" customHeight="1">
      <c r="A6" s="482">
        <v>7</v>
      </c>
      <c r="D6" s="131">
        <f>'Remettants mars 99'!E37</f>
        <v>0</v>
      </c>
      <c r="E6" s="131"/>
      <c r="F6" s="144">
        <v>47400</v>
      </c>
      <c r="G6" s="144">
        <f>'bdoVPZ RT mars  99'!T25</f>
        <v>0</v>
      </c>
      <c r="H6" s="146">
        <f>F6-G6</f>
        <v>47400</v>
      </c>
      <c r="I6" s="205">
        <f>G6/F6</f>
        <v>0</v>
      </c>
      <c r="L6" s="130"/>
      <c r="M6" s="203"/>
      <c r="O6" s="155">
        <f>'Remettants mars 99'!AB49</f>
        <v>0</v>
      </c>
      <c r="P6" s="131" t="s">
        <v>557</v>
      </c>
    </row>
    <row r="7" spans="1:17" ht="9" customHeight="1">
      <c r="A7" s="482">
        <v>8</v>
      </c>
      <c r="B7" s="130"/>
      <c r="C7" s="130"/>
      <c r="D7" s="131">
        <v>0</v>
      </c>
      <c r="E7" s="131"/>
      <c r="F7" s="130">
        <v>0</v>
      </c>
      <c r="G7" s="131">
        <v>0</v>
      </c>
      <c r="H7" s="130">
        <v>0</v>
      </c>
      <c r="I7" s="205">
        <v>0</v>
      </c>
      <c r="J7" s="130"/>
      <c r="M7" s="130"/>
      <c r="O7" s="488">
        <f>'Remettants mars 99'!AB61</f>
        <v>0</v>
      </c>
      <c r="P7" s="131" t="s">
        <v>558</v>
      </c>
      <c r="Q7" s="130"/>
    </row>
    <row r="8" spans="1:17" ht="9.75" customHeight="1" thickBot="1">
      <c r="A8" s="482"/>
      <c r="B8" s="130"/>
      <c r="C8" s="130"/>
      <c r="D8" s="130">
        <v>0</v>
      </c>
      <c r="E8" s="131"/>
      <c r="F8" s="131">
        <v>0</v>
      </c>
      <c r="G8" s="130">
        <v>0</v>
      </c>
      <c r="H8" s="130">
        <v>0</v>
      </c>
      <c r="I8" s="205">
        <v>0</v>
      </c>
      <c r="J8" s="130"/>
      <c r="O8" s="489"/>
      <c r="P8" s="131" t="s">
        <v>559</v>
      </c>
      <c r="Q8" s="130"/>
    </row>
    <row r="9" spans="1:16" ht="11.25" customHeight="1" thickBot="1">
      <c r="A9" s="483"/>
      <c r="B9" s="130"/>
      <c r="C9" s="130"/>
      <c r="D9" s="130">
        <f>SUM(D4:D8)</f>
        <v>68722</v>
      </c>
      <c r="E9" s="252" t="s">
        <v>364</v>
      </c>
      <c r="F9" s="250">
        <f>SUM(F3:F8)</f>
        <v>146890</v>
      </c>
      <c r="G9" s="250">
        <f>SUM(G4:G8)</f>
        <v>7797</v>
      </c>
      <c r="H9" s="251">
        <f>H4+H5+H6+H7+H8</f>
        <v>139093</v>
      </c>
      <c r="I9" s="205">
        <f>G9/F9</f>
        <v>0.05308053645585132</v>
      </c>
      <c r="J9" s="130"/>
      <c r="K9" s="136"/>
      <c r="L9" s="139"/>
      <c r="O9" s="155"/>
      <c r="P9" s="131" t="s">
        <v>560</v>
      </c>
    </row>
    <row r="10" spans="1:17" ht="9.75" customHeight="1">
      <c r="A10" s="143"/>
      <c r="B10" s="143" t="s">
        <v>224</v>
      </c>
      <c r="C10" s="143" t="s">
        <v>223</v>
      </c>
      <c r="D10" s="143" t="s">
        <v>278</v>
      </c>
      <c r="E10" s="143" t="s">
        <v>302</v>
      </c>
      <c r="F10" s="143"/>
      <c r="G10" s="143"/>
      <c r="H10" s="143"/>
      <c r="I10" s="557" t="s">
        <v>338</v>
      </c>
      <c r="J10" s="143"/>
      <c r="K10" s="143"/>
      <c r="L10" s="156" t="s">
        <v>204</v>
      </c>
      <c r="M10" s="189"/>
      <c r="N10" s="144"/>
      <c r="O10" s="154"/>
      <c r="P10" s="131" t="s">
        <v>561</v>
      </c>
      <c r="Q10" s="146"/>
    </row>
    <row r="11" spans="1:16" ht="9" customHeight="1">
      <c r="A11" s="190" t="s">
        <v>277</v>
      </c>
      <c r="B11" s="139">
        <v>68442</v>
      </c>
      <c r="C11" s="139">
        <v>265684</v>
      </c>
      <c r="D11" s="139">
        <f>SUM(B11:C11)</f>
        <v>334126</v>
      </c>
      <c r="E11" s="139">
        <f>C3+D11</f>
        <v>358958</v>
      </c>
      <c r="F11" s="139"/>
      <c r="G11" s="139"/>
      <c r="H11" s="147"/>
      <c r="I11" s="135" t="s">
        <v>296</v>
      </c>
      <c r="J11" s="135" t="s">
        <v>153</v>
      </c>
      <c r="K11" s="157" t="s">
        <v>205</v>
      </c>
      <c r="L11" s="131" t="s">
        <v>229</v>
      </c>
      <c r="M11" s="130"/>
      <c r="O11" s="155"/>
      <c r="P11" s="131" t="s">
        <v>562</v>
      </c>
    </row>
    <row r="12" spans="1:18" ht="9" customHeight="1">
      <c r="A12" s="484">
        <f>A4</f>
        <v>5</v>
      </c>
      <c r="B12" s="130"/>
      <c r="D12" s="130"/>
      <c r="E12" s="130" t="s">
        <v>975</v>
      </c>
      <c r="F12" s="131">
        <v>441</v>
      </c>
      <c r="G12" s="131">
        <v>0</v>
      </c>
      <c r="H12" s="148">
        <f>F12-G12</f>
        <v>441</v>
      </c>
      <c r="I12" s="141">
        <f>'Mixt&amp;Batt.mars 99 SKI (2)'!J14</f>
        <v>7368</v>
      </c>
      <c r="J12" s="130">
        <v>0</v>
      </c>
      <c r="K12" s="168" t="s">
        <v>282</v>
      </c>
      <c r="L12" s="135" t="s">
        <v>282</v>
      </c>
      <c r="O12" s="155"/>
      <c r="P12" s="131" t="s">
        <v>563</v>
      </c>
      <c r="R12" s="130"/>
    </row>
    <row r="13" spans="1:18" ht="9.75" customHeight="1">
      <c r="A13" s="141"/>
      <c r="B13" s="130"/>
      <c r="C13" s="130"/>
      <c r="D13" s="149"/>
      <c r="F13" s="131">
        <v>0</v>
      </c>
      <c r="G13" s="131">
        <v>0</v>
      </c>
      <c r="H13" s="148">
        <f>F13-G13</f>
        <v>0</v>
      </c>
      <c r="I13" s="133">
        <v>0</v>
      </c>
      <c r="J13" s="131">
        <v>0</v>
      </c>
      <c r="K13" s="201">
        <v>0</v>
      </c>
      <c r="L13" s="202">
        <v>68442</v>
      </c>
      <c r="M13" s="200" t="s">
        <v>276</v>
      </c>
      <c r="N13" s="217">
        <v>68442</v>
      </c>
      <c r="O13" s="155"/>
      <c r="P13" s="131" t="s">
        <v>564</v>
      </c>
      <c r="R13" s="212"/>
    </row>
    <row r="14" spans="5:16" ht="9" customHeight="1">
      <c r="E14" s="130" t="s">
        <v>294</v>
      </c>
      <c r="F14" s="131">
        <v>15667</v>
      </c>
      <c r="G14" s="131">
        <f>'bdoCH RT      99'!U41</f>
        <v>0</v>
      </c>
      <c r="H14" s="148">
        <f>F14-G14</f>
        <v>15667</v>
      </c>
      <c r="I14" s="133">
        <v>0</v>
      </c>
      <c r="J14" s="131">
        <v>0</v>
      </c>
      <c r="K14" s="188" t="s">
        <v>972</v>
      </c>
      <c r="L14" s="158"/>
      <c r="M14" s="485">
        <f>A4</f>
        <v>5</v>
      </c>
      <c r="O14" s="155"/>
      <c r="P14" s="131" t="s">
        <v>565</v>
      </c>
    </row>
    <row r="15" spans="1:16" ht="9" customHeight="1">
      <c r="A15" s="150" t="s">
        <v>230</v>
      </c>
      <c r="B15" s="151" t="s">
        <v>143</v>
      </c>
      <c r="F15" s="131">
        <f>SUM(C15:E15)</f>
        <v>0</v>
      </c>
      <c r="G15" s="131">
        <v>0</v>
      </c>
      <c r="H15" s="148">
        <f>F15-G15</f>
        <v>0</v>
      </c>
      <c r="I15" s="133">
        <v>0</v>
      </c>
      <c r="J15" s="131">
        <v>0</v>
      </c>
      <c r="K15" s="155" t="s">
        <v>273</v>
      </c>
      <c r="L15" s="130" t="s">
        <v>274</v>
      </c>
      <c r="M15" s="130"/>
      <c r="O15" s="155"/>
      <c r="P15" s="131" t="s">
        <v>566</v>
      </c>
    </row>
    <row r="16" spans="1:16" ht="9" customHeight="1">
      <c r="A16" s="147">
        <f>'Remettants mars 99'!AB13</f>
        <v>10688</v>
      </c>
      <c r="B16" s="152">
        <f>'Remettants mars 99'!AD13</f>
        <v>4133</v>
      </c>
      <c r="C16" s="139">
        <f>A16+B16</f>
        <v>14821</v>
      </c>
      <c r="D16" s="153" t="s">
        <v>293</v>
      </c>
      <c r="E16" s="153">
        <f>A12</f>
        <v>5</v>
      </c>
      <c r="F16" s="193">
        <f>SUM(F12:F15)</f>
        <v>16108</v>
      </c>
      <c r="G16" s="193">
        <f>SUM(G12:G15)</f>
        <v>0</v>
      </c>
      <c r="H16" s="193">
        <f>SUM(H12:H15)</f>
        <v>16108</v>
      </c>
      <c r="I16" s="153">
        <f>SUM(I12:I15)</f>
        <v>7368</v>
      </c>
      <c r="J16" s="153">
        <v>0</v>
      </c>
      <c r="K16" s="155">
        <v>0</v>
      </c>
      <c r="L16" s="131">
        <f>F12</f>
        <v>441</v>
      </c>
      <c r="N16" s="142"/>
      <c r="O16" s="155"/>
      <c r="P16" s="131" t="s">
        <v>567</v>
      </c>
    </row>
    <row r="17" spans="1:16" ht="9" customHeight="1">
      <c r="A17" s="484">
        <f>A5</f>
        <v>6</v>
      </c>
      <c r="B17" s="130"/>
      <c r="C17" s="130"/>
      <c r="D17" s="130"/>
      <c r="E17" s="130" t="s">
        <v>975</v>
      </c>
      <c r="F17" s="131">
        <v>2323</v>
      </c>
      <c r="G17" s="131">
        <v>0</v>
      </c>
      <c r="H17" s="148">
        <f>F17-G17</f>
        <v>2323</v>
      </c>
      <c r="I17" s="131">
        <v>10131</v>
      </c>
      <c r="J17" s="130">
        <v>0</v>
      </c>
      <c r="K17" s="188" t="s">
        <v>972</v>
      </c>
      <c r="L17" s="131"/>
      <c r="M17" s="486">
        <f>A5</f>
        <v>6</v>
      </c>
      <c r="O17" s="155"/>
      <c r="P17" s="131" t="s">
        <v>568</v>
      </c>
    </row>
    <row r="18" spans="1:16" ht="9" customHeight="1">
      <c r="A18" s="133"/>
      <c r="B18" s="130"/>
      <c r="D18" s="130"/>
      <c r="F18" s="131">
        <v>0</v>
      </c>
      <c r="G18" s="131">
        <v>0</v>
      </c>
      <c r="H18" s="148">
        <f>F18-G18</f>
        <v>0</v>
      </c>
      <c r="I18" s="131">
        <v>0</v>
      </c>
      <c r="J18" s="130">
        <v>0</v>
      </c>
      <c r="K18" s="155" t="s">
        <v>273</v>
      </c>
      <c r="L18" s="130" t="s">
        <v>274</v>
      </c>
      <c r="M18" s="130"/>
      <c r="O18" s="155"/>
      <c r="P18" s="131" t="s">
        <v>569</v>
      </c>
    </row>
    <row r="19" spans="5:16" ht="9" customHeight="1">
      <c r="E19" s="130" t="s">
        <v>294</v>
      </c>
      <c r="F19" s="131">
        <v>21443</v>
      </c>
      <c r="G19" s="131">
        <f>'bdoCH RT      99'!T17</f>
        <v>0</v>
      </c>
      <c r="H19" s="148">
        <f>F19-G19</f>
        <v>21443</v>
      </c>
      <c r="I19" s="131">
        <v>0</v>
      </c>
      <c r="J19" s="131">
        <v>0</v>
      </c>
      <c r="K19" s="155">
        <v>0</v>
      </c>
      <c r="L19" s="131">
        <f>F17</f>
        <v>2323</v>
      </c>
      <c r="N19" s="130"/>
      <c r="O19" s="155"/>
      <c r="P19" s="131" t="s">
        <v>570</v>
      </c>
    </row>
    <row r="20" spans="6:16" ht="9" customHeight="1">
      <c r="F20" s="131">
        <v>0</v>
      </c>
      <c r="G20" s="131">
        <v>0</v>
      </c>
      <c r="H20" s="148">
        <f>F20-G20</f>
        <v>0</v>
      </c>
      <c r="K20" s="188" t="s">
        <v>301</v>
      </c>
      <c r="L20" s="131"/>
      <c r="M20" s="487">
        <f>A6</f>
        <v>7</v>
      </c>
      <c r="N20" s="130"/>
      <c r="O20" s="147"/>
      <c r="P20" s="139" t="s">
        <v>571</v>
      </c>
    </row>
    <row r="21" spans="1:16" ht="9" customHeight="1">
      <c r="A21" s="150" t="s">
        <v>230</v>
      </c>
      <c r="B21" s="151" t="s">
        <v>143</v>
      </c>
      <c r="F21" s="131">
        <v>0</v>
      </c>
      <c r="G21" s="131">
        <v>0</v>
      </c>
      <c r="H21" s="148">
        <f>F21-G21</f>
        <v>0</v>
      </c>
      <c r="K21" s="155" t="s">
        <v>273</v>
      </c>
      <c r="L21" s="130" t="s">
        <v>274</v>
      </c>
      <c r="M21" s="130"/>
      <c r="O21" s="168">
        <f>SUM(O2:O20)</f>
        <v>0</v>
      </c>
      <c r="P21" s="131" t="s">
        <v>974</v>
      </c>
    </row>
    <row r="22" spans="1:16" ht="9.75" customHeight="1">
      <c r="A22" s="147">
        <f>'Remettants mars 99'!AB25</f>
        <v>0</v>
      </c>
      <c r="B22" s="152">
        <f>'Remettants mars 99'!AD25</f>
        <v>15700</v>
      </c>
      <c r="C22" s="139">
        <f>SUM(A22:B22)</f>
        <v>15700</v>
      </c>
      <c r="D22" s="153" t="s">
        <v>293</v>
      </c>
      <c r="E22" s="153">
        <f>A17</f>
        <v>6</v>
      </c>
      <c r="F22" s="193">
        <f>SUM(F17:F21)</f>
        <v>23766</v>
      </c>
      <c r="G22" s="193">
        <f>SUM(G17:G21)</f>
        <v>0</v>
      </c>
      <c r="H22" s="192">
        <f>SUM(H17:H21)</f>
        <v>23766</v>
      </c>
      <c r="I22" s="153">
        <f>SUM(I17:I21)</f>
        <v>10131</v>
      </c>
      <c r="J22" s="153">
        <f>SUM(J17:J21)</f>
        <v>0</v>
      </c>
      <c r="K22" s="155"/>
      <c r="L22" s="131">
        <f>F23</f>
        <v>7550</v>
      </c>
      <c r="M22" s="135"/>
      <c r="O22" s="131">
        <f>L16+L19+L22+L25</f>
        <v>10314</v>
      </c>
      <c r="P22" s="131" t="s">
        <v>165</v>
      </c>
    </row>
    <row r="23" spans="1:16" ht="10.5" customHeight="1">
      <c r="A23" s="484">
        <f>A6</f>
        <v>7</v>
      </c>
      <c r="E23" s="130" t="s">
        <v>975</v>
      </c>
      <c r="F23" s="131">
        <v>7550</v>
      </c>
      <c r="G23" s="131">
        <v>0</v>
      </c>
      <c r="H23" s="148">
        <f>F23-G23</f>
        <v>7550</v>
      </c>
      <c r="I23" s="135">
        <v>10131</v>
      </c>
      <c r="J23" s="131"/>
      <c r="K23" s="188" t="s">
        <v>301</v>
      </c>
      <c r="L23" s="131"/>
      <c r="M23" s="486">
        <f>A7</f>
        <v>8</v>
      </c>
      <c r="N23" s="131"/>
      <c r="O23" s="135">
        <f>N13+O21-O22</f>
        <v>58128</v>
      </c>
      <c r="P23" s="131" t="s">
        <v>358</v>
      </c>
    </row>
    <row r="24" spans="1:16" ht="9" customHeight="1">
      <c r="A24" s="133"/>
      <c r="E24" s="130"/>
      <c r="F24" s="131">
        <v>0</v>
      </c>
      <c r="G24" s="131">
        <v>0</v>
      </c>
      <c r="H24" s="148">
        <f>F24-G24</f>
        <v>0</v>
      </c>
      <c r="K24" s="155" t="s">
        <v>273</v>
      </c>
      <c r="L24" s="130" t="s">
        <v>274</v>
      </c>
      <c r="M24" s="130"/>
      <c r="O24" s="641" t="s">
        <v>263</v>
      </c>
      <c r="P24" s="642"/>
    </row>
    <row r="25" spans="1:15" ht="9" customHeight="1">
      <c r="A25" s="141"/>
      <c r="E25" s="130" t="s">
        <v>294</v>
      </c>
      <c r="F25" s="131">
        <v>21943</v>
      </c>
      <c r="G25" s="131">
        <v>0</v>
      </c>
      <c r="H25" s="148">
        <f>F25-G25</f>
        <v>21943</v>
      </c>
      <c r="K25" s="155">
        <v>0</v>
      </c>
      <c r="L25" s="131">
        <v>0</v>
      </c>
      <c r="M25" s="137"/>
      <c r="O25" s="447">
        <v>318572</v>
      </c>
    </row>
    <row r="26" spans="5:18" ht="9" customHeight="1">
      <c r="E26" s="130"/>
      <c r="F26" s="131">
        <v>0</v>
      </c>
      <c r="G26" s="131">
        <v>0</v>
      </c>
      <c r="H26" s="148">
        <f>F26-G26</f>
        <v>0</v>
      </c>
      <c r="K26" s="188" t="s">
        <v>301</v>
      </c>
      <c r="M26" s="486"/>
      <c r="O26" s="155"/>
      <c r="P26" s="131" t="s">
        <v>993</v>
      </c>
      <c r="R26" s="130"/>
    </row>
    <row r="27" spans="1:16" ht="9" customHeight="1">
      <c r="A27" s="150" t="s">
        <v>230</v>
      </c>
      <c r="B27" s="151" t="s">
        <v>143</v>
      </c>
      <c r="E27" s="130"/>
      <c r="F27" s="131">
        <v>0</v>
      </c>
      <c r="G27" s="131">
        <v>0</v>
      </c>
      <c r="H27" s="148">
        <f>F27-G27</f>
        <v>0</v>
      </c>
      <c r="K27" s="155" t="s">
        <v>273</v>
      </c>
      <c r="L27" s="130" t="s">
        <v>274</v>
      </c>
      <c r="M27" s="130"/>
      <c r="O27" s="155"/>
      <c r="P27" s="131" t="s">
        <v>554</v>
      </c>
    </row>
    <row r="28" spans="1:16" ht="9" customHeight="1">
      <c r="A28" s="147">
        <f>'Remettants mars 99'!AB37</f>
        <v>0</v>
      </c>
      <c r="B28" s="152">
        <f>'Remettants mars 99'!AD37</f>
        <v>0</v>
      </c>
      <c r="C28" s="139">
        <f>A28+B28</f>
        <v>0</v>
      </c>
      <c r="D28" s="153" t="s">
        <v>293</v>
      </c>
      <c r="E28" s="153">
        <f>A23</f>
        <v>7</v>
      </c>
      <c r="F28" s="193">
        <f>SUM(F23:F27)</f>
        <v>29493</v>
      </c>
      <c r="G28" s="193">
        <f>SUM(G23:G27)</f>
        <v>0</v>
      </c>
      <c r="H28" s="192">
        <f>SUM(H23:H27)</f>
        <v>29493</v>
      </c>
      <c r="I28" s="139">
        <f>SUM(I23:I27)</f>
        <v>10131</v>
      </c>
      <c r="J28" s="139"/>
      <c r="K28" s="155"/>
      <c r="L28" s="130"/>
      <c r="M28" s="135"/>
      <c r="O28" s="155"/>
      <c r="P28" s="131" t="s">
        <v>555</v>
      </c>
    </row>
    <row r="29" spans="1:16" ht="9.75" customHeight="1">
      <c r="A29" s="484">
        <f>A7</f>
        <v>8</v>
      </c>
      <c r="E29" s="130"/>
      <c r="F29" s="131">
        <f>L25</f>
        <v>0</v>
      </c>
      <c r="G29" s="131">
        <v>0</v>
      </c>
      <c r="H29" s="148">
        <f>F29-G29</f>
        <v>0</v>
      </c>
      <c r="I29" s="131">
        <v>0</v>
      </c>
      <c r="K29" s="188"/>
      <c r="L29" s="130"/>
      <c r="M29" s="130"/>
      <c r="O29" s="168">
        <v>265684</v>
      </c>
      <c r="P29" s="131" t="s">
        <v>556</v>
      </c>
    </row>
    <row r="30" spans="1:16" ht="9.75" customHeight="1">
      <c r="A30" s="64"/>
      <c r="E30" s="130"/>
      <c r="F30" s="131">
        <f>K25</f>
        <v>0</v>
      </c>
      <c r="G30" s="131">
        <v>0</v>
      </c>
      <c r="H30" s="148">
        <f>F30-G30</f>
        <v>0</v>
      </c>
      <c r="K30" s="188" t="s">
        <v>307</v>
      </c>
      <c r="L30" s="131"/>
      <c r="M30" s="131">
        <f>K16</f>
        <v>0</v>
      </c>
      <c r="N30" s="131"/>
      <c r="O30" s="155">
        <f>'Remettants mars 99'!AD13</f>
        <v>4133</v>
      </c>
      <c r="P30" s="131" t="s">
        <v>557</v>
      </c>
    </row>
    <row r="31" spans="1:16" ht="9" customHeight="1">
      <c r="A31" s="133"/>
      <c r="E31" s="130"/>
      <c r="F31" s="131">
        <v>0</v>
      </c>
      <c r="G31" s="131">
        <v>0</v>
      </c>
      <c r="H31" s="148">
        <f>F31-G31</f>
        <v>0</v>
      </c>
      <c r="K31" s="188" t="s">
        <v>308</v>
      </c>
      <c r="L31" s="131"/>
      <c r="M31" s="131">
        <f>L16+L19+L22+L25</f>
        <v>10314</v>
      </c>
      <c r="N31" s="131"/>
      <c r="O31" s="155">
        <f>'Remettants mars 99'!AD25</f>
        <v>15700</v>
      </c>
      <c r="P31" s="131" t="s">
        <v>558</v>
      </c>
    </row>
    <row r="32" spans="1:16" s="130" customFormat="1" ht="9" customHeight="1">
      <c r="A32" s="141"/>
      <c r="F32" s="130">
        <v>0</v>
      </c>
      <c r="G32" s="130">
        <v>0</v>
      </c>
      <c r="H32" s="155">
        <f>F32-G32</f>
        <v>0</v>
      </c>
      <c r="I32" s="155"/>
      <c r="K32" s="153" t="s">
        <v>275</v>
      </c>
      <c r="L32" s="153"/>
      <c r="M32" s="172">
        <f>K16+L16+K19+L19+K22+L22+K25+L25+K28+L28</f>
        <v>10314</v>
      </c>
      <c r="N32" s="130"/>
      <c r="O32" s="155">
        <f>'Remettants mars 99'!AD37</f>
        <v>0</v>
      </c>
      <c r="P32" s="131" t="s">
        <v>559</v>
      </c>
    </row>
    <row r="33" spans="1:16" ht="9" customHeight="1">
      <c r="A33" s="150" t="s">
        <v>230</v>
      </c>
      <c r="B33" s="151" t="s">
        <v>143</v>
      </c>
      <c r="F33" s="131">
        <v>0</v>
      </c>
      <c r="G33" s="131">
        <v>0</v>
      </c>
      <c r="H33" s="155">
        <f>F33-G33</f>
        <v>0</v>
      </c>
      <c r="I33" s="155"/>
      <c r="O33" s="155">
        <v>0</v>
      </c>
      <c r="P33" s="131" t="s">
        <v>560</v>
      </c>
    </row>
    <row r="34" spans="1:16" ht="9.75" customHeight="1">
      <c r="A34" s="147">
        <v>0</v>
      </c>
      <c r="B34" s="152">
        <v>0</v>
      </c>
      <c r="C34" s="139">
        <f>A34+B34</f>
        <v>0</v>
      </c>
      <c r="D34" s="153" t="s">
        <v>293</v>
      </c>
      <c r="E34" s="153">
        <f>A29</f>
        <v>8</v>
      </c>
      <c r="F34" s="193">
        <f>SUM(F29:F33)</f>
        <v>0</v>
      </c>
      <c r="G34" s="193">
        <f>SUM(G29:G33)</f>
        <v>0</v>
      </c>
      <c r="H34" s="191">
        <f>SUM(H29:H33)</f>
        <v>0</v>
      </c>
      <c r="I34" s="147">
        <f>SUM(I29:I33)</f>
        <v>0</v>
      </c>
      <c r="J34" s="139"/>
      <c r="O34" s="155">
        <v>0</v>
      </c>
      <c r="P34" s="131" t="s">
        <v>561</v>
      </c>
    </row>
    <row r="35" spans="1:16" ht="9" customHeight="1">
      <c r="A35" s="135"/>
      <c r="B35" s="130"/>
      <c r="C35" s="130"/>
      <c r="D35" s="138"/>
      <c r="E35" s="130"/>
      <c r="F35" s="130">
        <v>0</v>
      </c>
      <c r="G35" s="130">
        <v>0</v>
      </c>
      <c r="H35" s="168">
        <f>F35-G35</f>
        <v>0</v>
      </c>
      <c r="I35" s="155"/>
      <c r="J35" s="130"/>
      <c r="M35" s="241" t="s">
        <v>354</v>
      </c>
      <c r="N35" s="130" t="s">
        <v>1098</v>
      </c>
      <c r="O35" s="154">
        <v>0</v>
      </c>
      <c r="P35" s="131" t="s">
        <v>562</v>
      </c>
    </row>
    <row r="36" spans="1:16" ht="9.75" customHeight="1">
      <c r="A36" s="64"/>
      <c r="F36" s="131">
        <v>0</v>
      </c>
      <c r="G36" s="131">
        <v>0</v>
      </c>
      <c r="H36" s="155">
        <f>F36-G36</f>
        <v>0</v>
      </c>
      <c r="I36" s="155"/>
      <c r="K36" s="573" t="s">
        <v>277</v>
      </c>
      <c r="L36" s="203">
        <f>A4</f>
        <v>5</v>
      </c>
      <c r="M36" s="131">
        <f>H14</f>
        <v>15667</v>
      </c>
      <c r="N36" s="131">
        <f>F14</f>
        <v>15667</v>
      </c>
      <c r="O36" s="155">
        <v>0</v>
      </c>
      <c r="P36" s="131" t="s">
        <v>563</v>
      </c>
    </row>
    <row r="37" spans="1:16" ht="9" customHeight="1">
      <c r="A37" s="64"/>
      <c r="F37" s="131">
        <v>0</v>
      </c>
      <c r="G37" s="131">
        <v>0</v>
      </c>
      <c r="H37" s="155">
        <f>F37-G37</f>
        <v>0</v>
      </c>
      <c r="I37" s="155"/>
      <c r="K37" s="573" t="s">
        <v>277</v>
      </c>
      <c r="L37" s="574">
        <f>A5</f>
        <v>6</v>
      </c>
      <c r="M37" s="130">
        <f>H19</f>
        <v>21443</v>
      </c>
      <c r="N37" s="131">
        <f>F19</f>
        <v>21443</v>
      </c>
      <c r="O37" s="155">
        <v>0</v>
      </c>
      <c r="P37" s="131" t="s">
        <v>564</v>
      </c>
    </row>
    <row r="38" spans="1:16" ht="9" customHeight="1">
      <c r="A38" s="133"/>
      <c r="F38" s="131">
        <v>0</v>
      </c>
      <c r="G38" s="131">
        <v>0</v>
      </c>
      <c r="H38" s="155">
        <f>F38-G38</f>
        <v>0</v>
      </c>
      <c r="I38" s="155"/>
      <c r="K38" s="573" t="s">
        <v>277</v>
      </c>
      <c r="L38" s="203">
        <f>A6</f>
        <v>7</v>
      </c>
      <c r="M38" s="131">
        <f>H25</f>
        <v>21943</v>
      </c>
      <c r="N38" s="131">
        <f>F25</f>
        <v>21943</v>
      </c>
      <c r="O38" s="155">
        <v>0</v>
      </c>
      <c r="P38" s="131" t="s">
        <v>565</v>
      </c>
    </row>
    <row r="39" spans="1:16" ht="9" customHeight="1">
      <c r="A39" s="139"/>
      <c r="C39" s="139"/>
      <c r="D39" s="139"/>
      <c r="E39" s="139"/>
      <c r="F39" s="139">
        <v>0</v>
      </c>
      <c r="G39" s="139">
        <v>0</v>
      </c>
      <c r="H39" s="155">
        <f>F39-G39</f>
        <v>0</v>
      </c>
      <c r="I39" s="155"/>
      <c r="J39" s="139"/>
      <c r="K39" s="573" t="s">
        <v>277</v>
      </c>
      <c r="L39" s="203">
        <f>A7</f>
        <v>8</v>
      </c>
      <c r="M39" s="131">
        <v>0</v>
      </c>
      <c r="N39" s="131"/>
      <c r="O39" s="155">
        <v>0</v>
      </c>
      <c r="P39" s="131" t="s">
        <v>566</v>
      </c>
    </row>
    <row r="40" spans="1:16" ht="9" customHeight="1">
      <c r="A40" s="150" t="s">
        <v>230</v>
      </c>
      <c r="B40" s="160" t="s">
        <v>143</v>
      </c>
      <c r="C40" s="131">
        <f>A41+B41</f>
        <v>0</v>
      </c>
      <c r="D40" s="153" t="s">
        <v>293</v>
      </c>
      <c r="E40" s="153">
        <f>A35</f>
        <v>0</v>
      </c>
      <c r="F40" s="193">
        <f>SUM(F35:F39)</f>
        <v>0</v>
      </c>
      <c r="G40" s="194">
        <f>SUM(G35:G39)</f>
        <v>0</v>
      </c>
      <c r="H40" s="192">
        <f>SUM(H35:H39)</f>
        <v>0</v>
      </c>
      <c r="I40" s="131">
        <f>SUM(I35:I39)</f>
        <v>0</v>
      </c>
      <c r="J40" s="131"/>
      <c r="K40" s="573" t="s">
        <v>277</v>
      </c>
      <c r="L40" s="203">
        <f>A8</f>
        <v>0</v>
      </c>
      <c r="O40" s="154">
        <v>0</v>
      </c>
      <c r="P40" s="131" t="s">
        <v>567</v>
      </c>
    </row>
    <row r="41" spans="1:16" ht="9.75" customHeight="1">
      <c r="A41" s="147">
        <v>0</v>
      </c>
      <c r="B41" s="134">
        <v>0</v>
      </c>
      <c r="C41" s="161">
        <f>SUM(C12:C40)</f>
        <v>30521</v>
      </c>
      <c r="D41" s="161" t="s">
        <v>254</v>
      </c>
      <c r="E41" s="139">
        <f>B11+C11+C41</f>
        <v>364647</v>
      </c>
      <c r="F41" s="139">
        <f>SUM(F16+F22+F28+F34+F40)</f>
        <v>69367</v>
      </c>
      <c r="G41" s="139">
        <f>SUM(G16+G22+G28+G34+G40)</f>
        <v>0</v>
      </c>
      <c r="H41" s="162">
        <f>SUM(H22+H28+H34+H16+H40)</f>
        <v>69367</v>
      </c>
      <c r="I41" s="163">
        <f>I16+I22+I28+I34+I40</f>
        <v>27630</v>
      </c>
      <c r="J41" s="164">
        <f>J16+J22+J28+J39</f>
        <v>0</v>
      </c>
      <c r="K41" s="131"/>
      <c r="L41" s="131" t="s">
        <v>321</v>
      </c>
      <c r="M41" s="131">
        <f>SUM(M36:M40)</f>
        <v>59053</v>
      </c>
      <c r="N41" s="131">
        <f>SUM(N36:N38)</f>
        <v>59053</v>
      </c>
      <c r="O41" s="155">
        <v>0</v>
      </c>
      <c r="P41" s="131" t="s">
        <v>568</v>
      </c>
    </row>
    <row r="42" spans="1:16" ht="9.75" customHeight="1">
      <c r="A42" s="206" t="s">
        <v>277</v>
      </c>
      <c r="B42" s="207">
        <f>A4</f>
        <v>5</v>
      </c>
      <c r="C42" s="143"/>
      <c r="D42" s="208" t="s">
        <v>277</v>
      </c>
      <c r="E42" s="207">
        <f>A5</f>
        <v>6</v>
      </c>
      <c r="F42" s="143"/>
      <c r="G42" s="143"/>
      <c r="H42" s="143" t="s">
        <v>110</v>
      </c>
      <c r="I42" s="166" t="s">
        <v>1137</v>
      </c>
      <c r="J42" s="167" t="s">
        <v>155</v>
      </c>
      <c r="K42" s="143"/>
      <c r="L42" s="143"/>
      <c r="M42" s="143"/>
      <c r="O42" s="154">
        <v>0</v>
      </c>
      <c r="P42" s="131" t="s">
        <v>569</v>
      </c>
    </row>
    <row r="43" spans="1:16" ht="9.75" customHeight="1">
      <c r="A43" s="150" t="s">
        <v>106</v>
      </c>
      <c r="B43" s="169" t="s">
        <v>107</v>
      </c>
      <c r="C43" s="151" t="s">
        <v>108</v>
      </c>
      <c r="D43" s="150" t="s">
        <v>106</v>
      </c>
      <c r="E43" s="169" t="s">
        <v>107</v>
      </c>
      <c r="F43" s="151" t="s">
        <v>108</v>
      </c>
      <c r="G43" s="131"/>
      <c r="H43" s="133" t="s">
        <v>157</v>
      </c>
      <c r="O43" s="155">
        <v>0</v>
      </c>
      <c r="P43" s="131" t="s">
        <v>570</v>
      </c>
    </row>
    <row r="44" spans="1:16" ht="9.75" customHeight="1">
      <c r="A44" s="155" t="s">
        <v>1136</v>
      </c>
      <c r="B44" s="130"/>
      <c r="C44" s="170" t="s">
        <v>109</v>
      </c>
      <c r="D44" s="155" t="s">
        <v>1136</v>
      </c>
      <c r="E44" s="130"/>
      <c r="F44" s="170" t="s">
        <v>109</v>
      </c>
      <c r="G44" s="206" t="s">
        <v>277</v>
      </c>
      <c r="H44" s="207">
        <f>A8</f>
        <v>0</v>
      </c>
      <c r="I44" s="143"/>
      <c r="J44" s="171" t="s">
        <v>104</v>
      </c>
      <c r="K44" s="131"/>
      <c r="L44" s="162">
        <f>M47+I41+J41</f>
        <v>236090</v>
      </c>
      <c r="O44" s="155">
        <v>0</v>
      </c>
      <c r="P44" s="131" t="s">
        <v>571</v>
      </c>
    </row>
    <row r="45" spans="1:16" ht="10.5" customHeight="1">
      <c r="A45" s="147">
        <f>F4+F16</f>
        <v>62908</v>
      </c>
      <c r="B45" s="139">
        <f>G4+G16</f>
        <v>7797</v>
      </c>
      <c r="C45" s="172">
        <f>A45-B45</f>
        <v>55111</v>
      </c>
      <c r="D45" s="147">
        <f>F5+F22</f>
        <v>76456</v>
      </c>
      <c r="E45" s="139">
        <f>G5+G22</f>
        <v>0</v>
      </c>
      <c r="F45" s="172">
        <f>D45-E45</f>
        <v>76456</v>
      </c>
      <c r="G45" s="150" t="s">
        <v>106</v>
      </c>
      <c r="H45" s="169" t="s">
        <v>107</v>
      </c>
      <c r="I45" s="151" t="s">
        <v>108</v>
      </c>
      <c r="J45" s="135" t="s">
        <v>156</v>
      </c>
      <c r="O45" s="155">
        <v>0</v>
      </c>
      <c r="P45" s="131" t="s">
        <v>1101</v>
      </c>
    </row>
    <row r="46" spans="1:16" ht="9.75" customHeight="1">
      <c r="A46" s="206" t="s">
        <v>277</v>
      </c>
      <c r="B46" s="207">
        <f>A6</f>
        <v>7</v>
      </c>
      <c r="C46" s="143"/>
      <c r="D46" s="208" t="s">
        <v>277</v>
      </c>
      <c r="E46" s="165">
        <f>A7</f>
        <v>8</v>
      </c>
      <c r="F46" s="143"/>
      <c r="G46" s="155" t="s">
        <v>1136</v>
      </c>
      <c r="H46" s="130"/>
      <c r="I46" s="170" t="s">
        <v>109</v>
      </c>
      <c r="O46" s="168">
        <f>SUM(O29:O45)</f>
        <v>285517</v>
      </c>
      <c r="P46" s="131" t="s">
        <v>295</v>
      </c>
    </row>
    <row r="47" spans="1:16" ht="9.75" customHeight="1" thickBot="1">
      <c r="A47" s="150" t="s">
        <v>106</v>
      </c>
      <c r="B47" s="169" t="s">
        <v>107</v>
      </c>
      <c r="C47" s="151" t="s">
        <v>108</v>
      </c>
      <c r="D47" s="150" t="s">
        <v>106</v>
      </c>
      <c r="E47" s="169" t="s">
        <v>107</v>
      </c>
      <c r="F47" s="151" t="s">
        <v>108</v>
      </c>
      <c r="G47" s="147">
        <f>F8+F40</f>
        <v>0</v>
      </c>
      <c r="H47" s="139">
        <f>G8+G40</f>
        <v>0</v>
      </c>
      <c r="I47" s="172">
        <f>G47-H47</f>
        <v>0</v>
      </c>
      <c r="J47" s="135" t="s">
        <v>158</v>
      </c>
      <c r="M47" s="164">
        <f>C45+F45+C49+F49+I47</f>
        <v>208460</v>
      </c>
      <c r="N47" s="131"/>
      <c r="O47" s="131">
        <f>N41</f>
        <v>59053</v>
      </c>
      <c r="P47" s="135" t="s">
        <v>165</v>
      </c>
    </row>
    <row r="48" spans="1:16" ht="11.25" customHeight="1" thickBot="1">
      <c r="A48" s="155" t="s">
        <v>1136</v>
      </c>
      <c r="B48" s="130"/>
      <c r="C48" s="170" t="s">
        <v>109</v>
      </c>
      <c r="D48" s="155" t="s">
        <v>1136</v>
      </c>
      <c r="E48" s="130"/>
      <c r="F48" s="170" t="s">
        <v>109</v>
      </c>
      <c r="G48" s="173" t="s">
        <v>279</v>
      </c>
      <c r="H48" s="173"/>
      <c r="I48" s="144"/>
      <c r="O48" s="210">
        <f>O46-O47</f>
        <v>226464</v>
      </c>
      <c r="P48" s="211" t="s">
        <v>6</v>
      </c>
    </row>
    <row r="49" spans="1:16" ht="13.5" customHeight="1">
      <c r="A49" s="147">
        <f>F6+F28</f>
        <v>76893</v>
      </c>
      <c r="B49" s="139">
        <f>G6+G28</f>
        <v>0</v>
      </c>
      <c r="C49" s="172">
        <f>A49-B49</f>
        <v>76893</v>
      </c>
      <c r="D49" s="147">
        <f>F7+F34</f>
        <v>0</v>
      </c>
      <c r="E49" s="139">
        <f>G7+G34</f>
        <v>0</v>
      </c>
      <c r="F49" s="172">
        <f>D49-E49</f>
        <v>0</v>
      </c>
      <c r="G49" s="135">
        <f>F9+F41</f>
        <v>216257</v>
      </c>
      <c r="H49" s="131" t="s">
        <v>292</v>
      </c>
      <c r="I49" s="131"/>
      <c r="J49" s="135" t="s">
        <v>225</v>
      </c>
      <c r="K49" s="130"/>
      <c r="L49" s="130"/>
      <c r="M49" s="209">
        <f ca="1">NOW()</f>
        <v>34767.93440208333</v>
      </c>
      <c r="N49" s="253">
        <f>N4+O23+O48</f>
        <v>231256</v>
      </c>
      <c r="O49" s="131"/>
      <c r="P49" s="135" t="s">
        <v>154</v>
      </c>
    </row>
    <row r="50" ht="9" customHeight="1"/>
    <row r="51" spans="2:8" ht="9" customHeight="1">
      <c r="B51" s="146"/>
      <c r="H51" s="135"/>
    </row>
    <row r="52" spans="2:14" ht="9" customHeight="1">
      <c r="B52" s="146"/>
      <c r="H52" s="130"/>
      <c r="I52" s="130"/>
      <c r="J52" s="130"/>
      <c r="K52" s="130"/>
      <c r="L52" s="130"/>
      <c r="M52" s="130"/>
      <c r="N52" s="130"/>
    </row>
    <row r="53" spans="2:14" ht="9.75" customHeight="1">
      <c r="B53" s="146"/>
      <c r="C53" s="146"/>
      <c r="H53" s="130"/>
      <c r="I53" s="130"/>
      <c r="J53" s="130"/>
      <c r="K53" s="130"/>
      <c r="L53" s="130"/>
      <c r="M53" s="130"/>
      <c r="N53" s="130"/>
    </row>
    <row r="54" spans="2:14" ht="9.75" customHeight="1">
      <c r="B54" s="146"/>
      <c r="C54" s="146"/>
      <c r="H54" s="130"/>
      <c r="I54" s="130"/>
      <c r="J54" s="130"/>
      <c r="K54" s="130"/>
      <c r="L54" s="130"/>
      <c r="M54" s="130"/>
      <c r="N54" s="130"/>
    </row>
    <row r="55" spans="2:14" ht="9.75" customHeight="1">
      <c r="B55" s="146"/>
      <c r="C55" s="146"/>
      <c r="H55" s="130"/>
      <c r="I55" s="130"/>
      <c r="J55" s="130"/>
      <c r="K55" s="130"/>
      <c r="L55" s="130"/>
      <c r="M55" s="130"/>
      <c r="N55" s="130"/>
    </row>
    <row r="56" spans="2:14" ht="9.75" customHeight="1">
      <c r="B56" s="146"/>
      <c r="C56" s="146"/>
      <c r="H56" s="130"/>
      <c r="I56" s="130"/>
      <c r="J56" s="130"/>
      <c r="K56" s="130"/>
      <c r="L56" s="130"/>
      <c r="M56" s="130"/>
      <c r="N56" s="130"/>
    </row>
    <row r="57" spans="2:14" ht="9.75" customHeight="1">
      <c r="B57" s="146"/>
      <c r="C57" s="146"/>
      <c r="J57" s="130"/>
      <c r="K57" s="130"/>
      <c r="L57" s="130"/>
      <c r="M57" s="130"/>
      <c r="N57" s="130"/>
    </row>
    <row r="58" spans="2:14" ht="9.75" customHeight="1">
      <c r="B58" s="146"/>
      <c r="C58" s="146"/>
      <c r="J58" s="130"/>
      <c r="K58" s="130"/>
      <c r="L58" s="130"/>
      <c r="M58" s="130"/>
      <c r="N58" s="130"/>
    </row>
    <row r="59" spans="10:14" ht="9.75" customHeight="1">
      <c r="J59" s="130"/>
      <c r="K59" s="130"/>
      <c r="L59" s="130"/>
      <c r="M59" s="130"/>
      <c r="N59" s="130"/>
    </row>
    <row r="60" spans="10:14" ht="9.75" customHeight="1">
      <c r="J60" s="130"/>
      <c r="K60" s="130"/>
      <c r="L60" s="130"/>
      <c r="M60" s="130"/>
      <c r="N60" s="130"/>
    </row>
    <row r="61" spans="10:14" ht="9.75" customHeight="1">
      <c r="J61" s="130"/>
      <c r="K61" s="130"/>
      <c r="L61" s="130"/>
      <c r="M61" s="130"/>
      <c r="N61" s="130"/>
    </row>
    <row r="62" spans="10:14" ht="9.75" customHeight="1">
      <c r="J62" s="130"/>
      <c r="K62" s="130"/>
      <c r="L62" s="130"/>
      <c r="M62" s="130"/>
      <c r="N62" s="130"/>
    </row>
    <row r="63" spans="10:14" ht="9.75" customHeight="1">
      <c r="J63" s="130"/>
      <c r="K63" s="130"/>
      <c r="L63" s="130"/>
      <c r="M63" s="130"/>
      <c r="N63" s="130"/>
    </row>
    <row r="64" spans="3:14" ht="9.75" customHeight="1">
      <c r="C64" s="130"/>
      <c r="J64" s="130"/>
      <c r="K64" s="130"/>
      <c r="L64" s="130"/>
      <c r="M64" s="130"/>
      <c r="N64" s="130"/>
    </row>
    <row r="65" ht="9.75" customHeight="1">
      <c r="C65" s="212"/>
    </row>
    <row r="70" spans="2:3" ht="9.75" customHeight="1">
      <c r="B70" s="130"/>
      <c r="C70" s="130"/>
    </row>
    <row r="73" ht="9.75" customHeight="1">
      <c r="B73" s="135"/>
    </row>
    <row r="75" ht="9.75" customHeight="1">
      <c r="D75" s="135"/>
    </row>
    <row r="76" spans="2:4" ht="9.75" customHeight="1">
      <c r="B76" s="135"/>
      <c r="D76" s="135"/>
    </row>
    <row r="78" ht="9.75" customHeight="1">
      <c r="C78" s="135"/>
    </row>
  </sheetData>
  <mergeCells count="2">
    <mergeCell ref="O24:P24"/>
    <mergeCell ref="O1:P1"/>
  </mergeCells>
  <printOptions/>
  <pageMargins left="0.7874015748031497" right="0.7874015748031497" top="0.5905511811023623" bottom="0.5905511811023623" header="0.31496062992125984" footer="0.31496062992125984"/>
  <pageSetup horizontalDpi="300" verticalDpi="300" orientation="landscape" paperSize="9" scale="92" r:id="rId3"/>
  <headerFooter alignWithMargins="0">
    <oddHeader>&amp;LDe Ski&amp;C&amp;A&amp;RConfidentiel/Ghu</oddHeader>
    <oddFooter>&amp;CMouvement des Stocks  Piles et Accu &amp;D&amp;RPage &amp;P</oddFooter>
  </headerFooter>
  <rowBreaks count="1" manualBreakCount="1">
    <brk id="53" max="255" man="1"/>
  </rowBreaks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 codeName="Feuil11"/>
  <dimension ref="A1:R78"/>
  <sheetViews>
    <sheetView workbookViewId="0" topLeftCell="E1">
      <selection activeCell="I33" sqref="I33"/>
    </sheetView>
  </sheetViews>
  <sheetFormatPr defaultColWidth="11.421875" defaultRowHeight="9.75" customHeight="1"/>
  <cols>
    <col min="1" max="1" width="8.00390625" style="131" customWidth="1"/>
    <col min="2" max="2" width="9.140625" style="131" customWidth="1"/>
    <col min="3" max="4" width="8.7109375" style="131" customWidth="1"/>
    <col min="5" max="5" width="10.421875" style="131" customWidth="1"/>
    <col min="6" max="8" width="8.7109375" style="131" customWidth="1"/>
    <col min="9" max="9" width="10.140625" style="131" customWidth="1"/>
    <col min="10" max="10" width="6.57421875" style="131" customWidth="1"/>
    <col min="11" max="11" width="8.7109375" style="131" customWidth="1"/>
    <col min="12" max="12" width="8.57421875" style="131" customWidth="1"/>
    <col min="13" max="13" width="8.7109375" style="131" customWidth="1"/>
    <col min="14" max="14" width="9.421875" style="131" customWidth="1"/>
    <col min="15" max="15" width="9.140625" style="131" customWidth="1"/>
    <col min="16" max="16" width="9.28125" style="131" customWidth="1"/>
    <col min="17" max="17" width="8.7109375" style="131" customWidth="1"/>
    <col min="18" max="16384" width="11.421875" style="131" customWidth="1"/>
  </cols>
  <sheetData>
    <row r="1" spans="1:16" ht="30.75" customHeight="1">
      <c r="A1" s="128" t="s">
        <v>95</v>
      </c>
      <c r="B1" s="128" t="s">
        <v>96</v>
      </c>
      <c r="C1" s="128" t="s">
        <v>97</v>
      </c>
      <c r="D1" s="128" t="s">
        <v>98</v>
      </c>
      <c r="E1" s="128" t="s">
        <v>99</v>
      </c>
      <c r="F1" s="128" t="s">
        <v>100</v>
      </c>
      <c r="G1" s="128" t="s">
        <v>101</v>
      </c>
      <c r="H1" s="129" t="s">
        <v>105</v>
      </c>
      <c r="I1" s="129" t="s">
        <v>296</v>
      </c>
      <c r="J1" s="129" t="s">
        <v>309</v>
      </c>
      <c r="K1" s="129" t="s">
        <v>290</v>
      </c>
      <c r="L1" s="255" t="s">
        <v>239</v>
      </c>
      <c r="M1" s="555" t="s">
        <v>235</v>
      </c>
      <c r="N1" s="556" t="s">
        <v>291</v>
      </c>
      <c r="O1" s="643" t="s">
        <v>973</v>
      </c>
      <c r="P1" s="644"/>
    </row>
    <row r="2" spans="1:16" ht="10.5" customHeight="1">
      <c r="A2" s="132"/>
      <c r="B2" s="132"/>
      <c r="C2" s="132"/>
      <c r="D2" s="132"/>
      <c r="E2" s="132">
        <f>C3+SUM(D4:D8)</f>
        <v>70722</v>
      </c>
      <c r="F2" s="132"/>
      <c r="G2" s="132"/>
      <c r="I2" s="132"/>
      <c r="J2" s="132"/>
      <c r="K2" s="132"/>
      <c r="L2" s="132"/>
      <c r="M2" s="132"/>
      <c r="N2" s="375" t="s">
        <v>983</v>
      </c>
      <c r="O2" s="169">
        <v>0</v>
      </c>
      <c r="P2" s="131" t="s">
        <v>993</v>
      </c>
    </row>
    <row r="3" spans="1:16" ht="9.75" customHeight="1">
      <c r="A3" s="482"/>
      <c r="B3" s="133" t="s">
        <v>103</v>
      </c>
      <c r="C3" s="134">
        <v>2000</v>
      </c>
      <c r="E3" s="130"/>
      <c r="F3" s="130"/>
      <c r="G3" s="130"/>
      <c r="H3" s="130"/>
      <c r="I3" s="130"/>
      <c r="L3" s="130">
        <f>9*1100</f>
        <v>9900</v>
      </c>
      <c r="M3" s="130"/>
      <c r="N3" s="170"/>
      <c r="O3" s="130">
        <v>0</v>
      </c>
      <c r="P3" s="131" t="s">
        <v>554</v>
      </c>
    </row>
    <row r="4" spans="1:16" s="130" customFormat="1" ht="10.5" customHeight="1">
      <c r="A4" s="482">
        <v>9</v>
      </c>
      <c r="D4" s="131">
        <f>'Remettants mars 99'!E13</f>
        <v>45412</v>
      </c>
      <c r="E4" s="130"/>
      <c r="F4" s="130">
        <f>E2-L3</f>
        <v>60822</v>
      </c>
      <c r="G4" s="130">
        <f>'bdoVPZ RT mars  99'!T9</f>
        <v>7797</v>
      </c>
      <c r="H4" s="130">
        <f>F4-G4</f>
        <v>53025</v>
      </c>
      <c r="I4" s="205">
        <v>0</v>
      </c>
      <c r="K4" s="140"/>
      <c r="M4" s="387"/>
      <c r="N4" s="375">
        <f>E2-F9</f>
        <v>9900</v>
      </c>
      <c r="O4" s="130">
        <v>0</v>
      </c>
      <c r="P4" s="131" t="s">
        <v>555</v>
      </c>
    </row>
    <row r="5" spans="1:16" ht="9" customHeight="1">
      <c r="A5" s="482">
        <v>10</v>
      </c>
      <c r="D5" s="130">
        <f>'Remettants mars 99'!E25</f>
        <v>23310</v>
      </c>
      <c r="E5" s="131"/>
      <c r="F5" s="131">
        <v>0</v>
      </c>
      <c r="G5" s="131">
        <f>'bdoVPZ RT mars  99'!T17</f>
        <v>0</v>
      </c>
      <c r="H5" s="130">
        <f>F5-G5</f>
        <v>0</v>
      </c>
      <c r="I5" s="205">
        <v>0</v>
      </c>
      <c r="L5" s="130"/>
      <c r="M5" s="203"/>
      <c r="O5" s="155">
        <v>0</v>
      </c>
      <c r="P5" s="131" t="s">
        <v>556</v>
      </c>
    </row>
    <row r="6" spans="1:16" ht="9" customHeight="1">
      <c r="A6" s="482">
        <v>11</v>
      </c>
      <c r="D6" s="131">
        <f>'Remettants mars 99'!E37</f>
        <v>0</v>
      </c>
      <c r="E6" s="131"/>
      <c r="F6" s="144">
        <v>0</v>
      </c>
      <c r="G6" s="144">
        <f>'bdoVPZ RT mars  99'!T25</f>
        <v>0</v>
      </c>
      <c r="H6" s="146">
        <f>F6-G6</f>
        <v>0</v>
      </c>
      <c r="I6" s="205">
        <v>0</v>
      </c>
      <c r="L6" s="130"/>
      <c r="M6" s="203"/>
      <c r="O6" s="155">
        <v>0</v>
      </c>
      <c r="P6" s="131" t="s">
        <v>557</v>
      </c>
    </row>
    <row r="7" spans="1:17" ht="9" customHeight="1">
      <c r="A7" s="482">
        <v>12</v>
      </c>
      <c r="B7" s="130"/>
      <c r="C7" s="130"/>
      <c r="D7" s="131">
        <f>'Remettants mars 99'!E49</f>
        <v>0</v>
      </c>
      <c r="E7" s="131"/>
      <c r="F7" s="130">
        <v>0</v>
      </c>
      <c r="G7" s="131">
        <v>0</v>
      </c>
      <c r="H7" s="130">
        <f>F7-G7</f>
        <v>0</v>
      </c>
      <c r="I7" s="205">
        <v>0</v>
      </c>
      <c r="J7" s="130"/>
      <c r="M7" s="130"/>
      <c r="O7" s="488">
        <v>0</v>
      </c>
      <c r="P7" s="131" t="s">
        <v>558</v>
      </c>
      <c r="Q7" s="130"/>
    </row>
    <row r="8" spans="1:17" ht="9.75" customHeight="1" thickBot="1">
      <c r="A8" s="482">
        <v>13</v>
      </c>
      <c r="B8" s="130"/>
      <c r="C8" s="130"/>
      <c r="D8" s="130">
        <f>'Remettants mars 99'!E61</f>
        <v>0</v>
      </c>
      <c r="E8" s="131"/>
      <c r="F8" s="131">
        <v>0</v>
      </c>
      <c r="G8" s="130">
        <v>0</v>
      </c>
      <c r="H8" s="130">
        <f>F8-G8</f>
        <v>0</v>
      </c>
      <c r="I8" s="205">
        <v>0</v>
      </c>
      <c r="J8" s="130"/>
      <c r="O8" s="489">
        <v>0</v>
      </c>
      <c r="P8" s="131" t="s">
        <v>559</v>
      </c>
      <c r="Q8" s="130"/>
    </row>
    <row r="9" spans="1:16" ht="11.25" customHeight="1" thickBot="1">
      <c r="A9" s="483"/>
      <c r="B9" s="130"/>
      <c r="C9" s="130"/>
      <c r="D9" s="130">
        <f>SUM(D4:D8)</f>
        <v>68722</v>
      </c>
      <c r="E9" s="252" t="s">
        <v>364</v>
      </c>
      <c r="F9" s="250">
        <f>SUM(F3:F8)</f>
        <v>60822</v>
      </c>
      <c r="G9" s="250">
        <f>SUM(G4:G8)</f>
        <v>7797</v>
      </c>
      <c r="H9" s="251">
        <f>H4+H5+H6+H7+H8</f>
        <v>53025</v>
      </c>
      <c r="I9" s="205">
        <v>0</v>
      </c>
      <c r="J9" s="130"/>
      <c r="K9" s="136"/>
      <c r="L9" s="139"/>
      <c r="O9" s="155">
        <v>0</v>
      </c>
      <c r="P9" s="131" t="s">
        <v>560</v>
      </c>
    </row>
    <row r="10" spans="1:17" ht="9.75" customHeight="1">
      <c r="A10" s="143"/>
      <c r="B10" s="143" t="s">
        <v>224</v>
      </c>
      <c r="C10" s="143" t="s">
        <v>223</v>
      </c>
      <c r="D10" s="143" t="s">
        <v>278</v>
      </c>
      <c r="E10" s="143" t="s">
        <v>302</v>
      </c>
      <c r="F10" s="143"/>
      <c r="G10" s="143"/>
      <c r="H10" s="143"/>
      <c r="I10" s="557" t="s">
        <v>338</v>
      </c>
      <c r="J10" s="143"/>
      <c r="K10" s="143"/>
      <c r="L10" s="156" t="s">
        <v>204</v>
      </c>
      <c r="M10" s="189"/>
      <c r="N10" s="144"/>
      <c r="O10" s="154">
        <f>'Remettants mars 99'!AB13</f>
        <v>10688</v>
      </c>
      <c r="P10" s="131" t="s">
        <v>561</v>
      </c>
      <c r="Q10" s="146"/>
    </row>
    <row r="11" spans="1:16" ht="9" customHeight="1">
      <c r="A11" s="190" t="s">
        <v>277</v>
      </c>
      <c r="B11" s="139">
        <v>68554</v>
      </c>
      <c r="C11" s="139">
        <v>301056</v>
      </c>
      <c r="D11" s="139">
        <f>SUM(B11:C11)</f>
        <v>369610</v>
      </c>
      <c r="E11" s="139">
        <f>C3+D11</f>
        <v>371610</v>
      </c>
      <c r="F11" s="139"/>
      <c r="G11" s="139"/>
      <c r="H11" s="147"/>
      <c r="I11" s="135" t="s">
        <v>296</v>
      </c>
      <c r="J11" s="135" t="s">
        <v>153</v>
      </c>
      <c r="K11" s="157" t="s">
        <v>205</v>
      </c>
      <c r="L11" s="131" t="s">
        <v>229</v>
      </c>
      <c r="M11" s="130"/>
      <c r="O11" s="155">
        <f>'Remettants mars 99'!AB25</f>
        <v>0</v>
      </c>
      <c r="P11" s="131" t="s">
        <v>562</v>
      </c>
    </row>
    <row r="12" spans="1:18" ht="9" customHeight="1">
      <c r="A12" s="484">
        <f>A4</f>
        <v>9</v>
      </c>
      <c r="B12" s="130"/>
      <c r="D12" s="130"/>
      <c r="E12" s="130" t="s">
        <v>975</v>
      </c>
      <c r="F12" s="131">
        <f>1149+1144+1226+577+1046+3922+5723+2126</f>
        <v>16913</v>
      </c>
      <c r="G12" s="131">
        <v>0</v>
      </c>
      <c r="H12" s="148">
        <f>F12-G12</f>
        <v>16913</v>
      </c>
      <c r="I12" s="141">
        <f>8*921</f>
        <v>7368</v>
      </c>
      <c r="J12" s="130">
        <v>0</v>
      </c>
      <c r="K12" s="168" t="s">
        <v>282</v>
      </c>
      <c r="L12" s="135" t="s">
        <v>282</v>
      </c>
      <c r="O12" s="155">
        <f>'Remettants mars 99'!AB37</f>
        <v>0</v>
      </c>
      <c r="P12" s="131" t="s">
        <v>563</v>
      </c>
      <c r="R12" s="130"/>
    </row>
    <row r="13" spans="1:18" ht="9.75" customHeight="1">
      <c r="A13" s="141"/>
      <c r="B13" s="130"/>
      <c r="C13" s="130"/>
      <c r="D13" s="149"/>
      <c r="F13" s="131">
        <v>0</v>
      </c>
      <c r="G13" s="131">
        <v>0</v>
      </c>
      <c r="H13" s="148">
        <f>F13-G13</f>
        <v>0</v>
      </c>
      <c r="I13" s="133">
        <v>0</v>
      </c>
      <c r="J13" s="131">
        <v>0</v>
      </c>
      <c r="K13" s="201">
        <v>0</v>
      </c>
      <c r="L13" s="202">
        <v>68554</v>
      </c>
      <c r="M13" s="200" t="s">
        <v>276</v>
      </c>
      <c r="N13" s="217">
        <f>K13+L13</f>
        <v>68554</v>
      </c>
      <c r="O13" s="155">
        <f>'Remettants mars 99'!AB49</f>
        <v>0</v>
      </c>
      <c r="P13" s="131" t="s">
        <v>564</v>
      </c>
      <c r="R13" s="212"/>
    </row>
    <row r="14" spans="5:16" ht="9" customHeight="1">
      <c r="E14" s="130" t="s">
        <v>294</v>
      </c>
      <c r="F14" s="131">
        <f>2063+936+1195+1193+923+825</f>
        <v>7135</v>
      </c>
      <c r="G14" s="131">
        <f>'bdoCH RT      99'!U41</f>
        <v>0</v>
      </c>
      <c r="H14" s="148">
        <f>F14-G14</f>
        <v>7135</v>
      </c>
      <c r="I14" s="133">
        <v>0</v>
      </c>
      <c r="J14" s="131">
        <v>0</v>
      </c>
      <c r="K14" s="188" t="s">
        <v>972</v>
      </c>
      <c r="L14" s="158"/>
      <c r="M14" s="485">
        <f>A4</f>
        <v>9</v>
      </c>
      <c r="N14" s="131"/>
      <c r="O14" s="155">
        <f>'Remettants mars 99'!AB61</f>
        <v>0</v>
      </c>
      <c r="P14" s="131" t="s">
        <v>565</v>
      </c>
    </row>
    <row r="15" spans="1:16" ht="9" customHeight="1">
      <c r="A15" s="150" t="s">
        <v>230</v>
      </c>
      <c r="B15" s="151" t="s">
        <v>143</v>
      </c>
      <c r="F15" s="131">
        <f>SUM(C15:E15)</f>
        <v>0</v>
      </c>
      <c r="G15" s="131">
        <v>0</v>
      </c>
      <c r="H15" s="148">
        <f>F15-G15</f>
        <v>0</v>
      </c>
      <c r="I15" s="133">
        <v>0</v>
      </c>
      <c r="J15" s="131">
        <v>0</v>
      </c>
      <c r="K15" s="155" t="s">
        <v>273</v>
      </c>
      <c r="L15" s="130" t="s">
        <v>274</v>
      </c>
      <c r="M15" s="130"/>
      <c r="O15" s="155"/>
      <c r="P15" s="131" t="s">
        <v>566</v>
      </c>
    </row>
    <row r="16" spans="1:16" ht="9" customHeight="1">
      <c r="A16" s="147">
        <f>'Remettants mars 99'!AB13</f>
        <v>10688</v>
      </c>
      <c r="B16" s="152">
        <f>'Remettants mars 99'!AD13</f>
        <v>4133</v>
      </c>
      <c r="C16" s="139">
        <f>A16+B16</f>
        <v>14821</v>
      </c>
      <c r="D16" s="153" t="s">
        <v>293</v>
      </c>
      <c r="E16" s="153">
        <f>A12</f>
        <v>9</v>
      </c>
      <c r="F16" s="193">
        <f>SUM(F12:F15)</f>
        <v>24048</v>
      </c>
      <c r="G16" s="193">
        <f>SUM(G12:G15)</f>
        <v>0</v>
      </c>
      <c r="H16" s="193">
        <f>SUM(H12:H15)</f>
        <v>24048</v>
      </c>
      <c r="I16" s="153">
        <f>SUM(I12:I15)</f>
        <v>7368</v>
      </c>
      <c r="J16" s="153">
        <v>0</v>
      </c>
      <c r="K16" s="155">
        <v>0</v>
      </c>
      <c r="L16" s="131">
        <f>H12</f>
        <v>16913</v>
      </c>
      <c r="N16" s="142"/>
      <c r="O16" s="155"/>
      <c r="P16" s="131" t="s">
        <v>567</v>
      </c>
    </row>
    <row r="17" spans="1:16" ht="9" customHeight="1">
      <c r="A17" s="484">
        <f>A5</f>
        <v>10</v>
      </c>
      <c r="B17" s="130"/>
      <c r="C17" s="130"/>
      <c r="D17" s="130"/>
      <c r="E17" s="130" t="s">
        <v>975</v>
      </c>
      <c r="F17" s="131">
        <v>0</v>
      </c>
      <c r="G17" s="131">
        <v>0</v>
      </c>
      <c r="H17" s="148">
        <f>F17-G17</f>
        <v>0</v>
      </c>
      <c r="I17" s="131">
        <v>0</v>
      </c>
      <c r="J17" s="130">
        <v>0</v>
      </c>
      <c r="K17" s="188" t="s">
        <v>972</v>
      </c>
      <c r="L17" s="131"/>
      <c r="M17" s="486">
        <f>A5</f>
        <v>10</v>
      </c>
      <c r="O17" s="155"/>
      <c r="P17" s="131" t="s">
        <v>568</v>
      </c>
    </row>
    <row r="18" spans="1:16" ht="9" customHeight="1">
      <c r="A18" s="133"/>
      <c r="B18" s="130"/>
      <c r="D18" s="130"/>
      <c r="F18" s="131">
        <v>0</v>
      </c>
      <c r="G18" s="131">
        <v>0</v>
      </c>
      <c r="H18" s="148">
        <f>F18-G18</f>
        <v>0</v>
      </c>
      <c r="I18" s="131">
        <v>0</v>
      </c>
      <c r="J18" s="130">
        <v>0</v>
      </c>
      <c r="K18" s="155" t="s">
        <v>273</v>
      </c>
      <c r="L18" s="130" t="s">
        <v>274</v>
      </c>
      <c r="M18" s="130"/>
      <c r="O18" s="155"/>
      <c r="P18" s="131" t="s">
        <v>569</v>
      </c>
    </row>
    <row r="19" spans="5:16" ht="9" customHeight="1">
      <c r="E19" s="130" t="s">
        <v>294</v>
      </c>
      <c r="F19" s="131">
        <v>0</v>
      </c>
      <c r="G19" s="131">
        <f>'bdoCH RT      99'!T17</f>
        <v>0</v>
      </c>
      <c r="H19" s="148">
        <f>F19-G19</f>
        <v>0</v>
      </c>
      <c r="I19" s="131">
        <v>0</v>
      </c>
      <c r="J19" s="131">
        <v>0</v>
      </c>
      <c r="K19" s="155">
        <v>0</v>
      </c>
      <c r="L19" s="131">
        <f>H17</f>
        <v>0</v>
      </c>
      <c r="N19" s="130"/>
      <c r="O19" s="155"/>
      <c r="P19" s="131" t="s">
        <v>570</v>
      </c>
    </row>
    <row r="20" spans="6:16" ht="9" customHeight="1">
      <c r="F20" s="131">
        <v>0</v>
      </c>
      <c r="G20" s="131">
        <v>0</v>
      </c>
      <c r="H20" s="148">
        <f>F20-G20</f>
        <v>0</v>
      </c>
      <c r="K20" s="188" t="s">
        <v>301</v>
      </c>
      <c r="L20" s="131"/>
      <c r="M20" s="487">
        <f>A6</f>
        <v>11</v>
      </c>
      <c r="N20" s="130"/>
      <c r="O20" s="147"/>
      <c r="P20" s="139" t="s">
        <v>571</v>
      </c>
    </row>
    <row r="21" spans="1:16" ht="9" customHeight="1">
      <c r="A21" s="150" t="s">
        <v>230</v>
      </c>
      <c r="B21" s="151" t="s">
        <v>143</v>
      </c>
      <c r="F21" s="131">
        <v>0</v>
      </c>
      <c r="G21" s="131">
        <v>0</v>
      </c>
      <c r="H21" s="148">
        <f>F21-G21</f>
        <v>0</v>
      </c>
      <c r="K21" s="155" t="s">
        <v>273</v>
      </c>
      <c r="L21" s="130" t="s">
        <v>274</v>
      </c>
      <c r="M21" s="130"/>
      <c r="O21" s="168">
        <f>SUM(O2:O20)</f>
        <v>10688</v>
      </c>
      <c r="P21" s="131" t="s">
        <v>974</v>
      </c>
    </row>
    <row r="22" spans="1:16" ht="9.75" customHeight="1">
      <c r="A22" s="147">
        <f>'Remettants mars 99'!AB25</f>
        <v>0</v>
      </c>
      <c r="B22" s="152">
        <f>'Remettants mars 99'!AD25</f>
        <v>15700</v>
      </c>
      <c r="C22" s="139">
        <f>SUM(A22:B22)</f>
        <v>15700</v>
      </c>
      <c r="D22" s="153" t="s">
        <v>293</v>
      </c>
      <c r="E22" s="153">
        <f>A17</f>
        <v>10</v>
      </c>
      <c r="F22" s="193">
        <f>SUM(F17:F21)</f>
        <v>0</v>
      </c>
      <c r="G22" s="193">
        <f>SUM(G17:G21)</f>
        <v>0</v>
      </c>
      <c r="H22" s="192">
        <f>SUM(H17:H21)</f>
        <v>0</v>
      </c>
      <c r="I22" s="153">
        <f>SUM(I17:I21)</f>
        <v>0</v>
      </c>
      <c r="J22" s="153">
        <f>SUM(J17:J21)</f>
        <v>0</v>
      </c>
      <c r="K22" s="155"/>
      <c r="L22" s="131">
        <f>H23</f>
        <v>0</v>
      </c>
      <c r="M22" s="135"/>
      <c r="O22" s="131">
        <f>L16+L19+L22+L25+L28</f>
        <v>16913</v>
      </c>
      <c r="P22" s="131" t="s">
        <v>165</v>
      </c>
    </row>
    <row r="23" spans="1:16" ht="10.5" customHeight="1">
      <c r="A23" s="484">
        <f>A6</f>
        <v>11</v>
      </c>
      <c r="E23" s="130" t="s">
        <v>975</v>
      </c>
      <c r="F23" s="131">
        <v>0</v>
      </c>
      <c r="G23" s="131">
        <v>0</v>
      </c>
      <c r="H23" s="148">
        <f>F23-G23</f>
        <v>0</v>
      </c>
      <c r="I23" s="131">
        <v>0</v>
      </c>
      <c r="J23" s="131"/>
      <c r="K23" s="188" t="s">
        <v>301</v>
      </c>
      <c r="L23" s="131"/>
      <c r="M23" s="486">
        <f>A7</f>
        <v>12</v>
      </c>
      <c r="N23" s="131"/>
      <c r="O23" s="135">
        <f>N13+O21-O22</f>
        <v>62329</v>
      </c>
      <c r="P23" s="131" t="s">
        <v>358</v>
      </c>
    </row>
    <row r="24" spans="1:16" ht="9" customHeight="1">
      <c r="A24" s="133"/>
      <c r="E24" s="130"/>
      <c r="F24" s="131">
        <v>0</v>
      </c>
      <c r="G24" s="131">
        <v>0</v>
      </c>
      <c r="H24" s="148">
        <f>F24-G24</f>
        <v>0</v>
      </c>
      <c r="K24" s="155" t="s">
        <v>273</v>
      </c>
      <c r="L24" s="130" t="s">
        <v>274</v>
      </c>
      <c r="M24" s="130"/>
      <c r="O24" s="641" t="s">
        <v>263</v>
      </c>
      <c r="P24" s="642"/>
    </row>
    <row r="25" spans="1:15" ht="9" customHeight="1">
      <c r="A25" s="141"/>
      <c r="E25" s="130" t="s">
        <v>294</v>
      </c>
      <c r="F25" s="131">
        <v>0</v>
      </c>
      <c r="G25" s="131">
        <v>0</v>
      </c>
      <c r="H25" s="148">
        <f>F25-G25</f>
        <v>0</v>
      </c>
      <c r="K25" s="155">
        <v>0</v>
      </c>
      <c r="L25" s="131">
        <f>H29</f>
        <v>0</v>
      </c>
      <c r="M25" s="137"/>
      <c r="O25" s="447">
        <v>0</v>
      </c>
    </row>
    <row r="26" spans="5:18" ht="9" customHeight="1">
      <c r="E26" s="130"/>
      <c r="F26" s="131">
        <v>0</v>
      </c>
      <c r="G26" s="131">
        <v>0</v>
      </c>
      <c r="H26" s="148">
        <f>F26-G26</f>
        <v>0</v>
      </c>
      <c r="K26" s="188" t="s">
        <v>301</v>
      </c>
      <c r="L26" s="131"/>
      <c r="M26" s="486">
        <f>A8</f>
        <v>13</v>
      </c>
      <c r="O26" s="155"/>
      <c r="P26" s="131" t="s">
        <v>993</v>
      </c>
      <c r="R26" s="130"/>
    </row>
    <row r="27" spans="1:16" ht="9" customHeight="1">
      <c r="A27" s="150" t="s">
        <v>230</v>
      </c>
      <c r="B27" s="151" t="s">
        <v>143</v>
      </c>
      <c r="E27" s="130"/>
      <c r="F27" s="131">
        <v>0</v>
      </c>
      <c r="G27" s="131">
        <v>0</v>
      </c>
      <c r="H27" s="148" t="s">
        <v>1183</v>
      </c>
      <c r="K27" s="155" t="s">
        <v>273</v>
      </c>
      <c r="L27" s="130" t="s">
        <v>274</v>
      </c>
      <c r="M27" s="130"/>
      <c r="O27" s="155"/>
      <c r="P27" s="131" t="s">
        <v>554</v>
      </c>
    </row>
    <row r="28" spans="1:16" ht="9" customHeight="1">
      <c r="A28" s="147">
        <f>'Remettants mars 99'!AB37</f>
        <v>0</v>
      </c>
      <c r="B28" s="152">
        <f>'Remettants mars 99'!AD37</f>
        <v>0</v>
      </c>
      <c r="C28" s="139">
        <f>A28+B28</f>
        <v>0</v>
      </c>
      <c r="D28" s="153" t="s">
        <v>293</v>
      </c>
      <c r="E28" s="153">
        <f>A23</f>
        <v>11</v>
      </c>
      <c r="F28" s="193">
        <f>SUM(F23:F27)</f>
        <v>0</v>
      </c>
      <c r="G28" s="193">
        <f>SUM(G23:G27)</f>
        <v>0</v>
      </c>
      <c r="H28" s="192">
        <f>SUM(H23:H27)</f>
        <v>0</v>
      </c>
      <c r="I28" s="153">
        <f>SUM(I23:I27)</f>
        <v>0</v>
      </c>
      <c r="J28" s="139"/>
      <c r="K28" s="155"/>
      <c r="L28" s="130">
        <f>H35</f>
        <v>0</v>
      </c>
      <c r="M28" s="135"/>
      <c r="O28" s="155"/>
      <c r="P28" s="131" t="s">
        <v>555</v>
      </c>
    </row>
    <row r="29" spans="1:16" ht="9.75" customHeight="1">
      <c r="A29" s="484">
        <f>A7</f>
        <v>12</v>
      </c>
      <c r="E29" s="130" t="s">
        <v>975</v>
      </c>
      <c r="F29" s="131">
        <v>0</v>
      </c>
      <c r="G29" s="131">
        <v>0</v>
      </c>
      <c r="H29" s="148">
        <f>F29-G29</f>
        <v>0</v>
      </c>
      <c r="I29" s="131">
        <v>0</v>
      </c>
      <c r="K29" s="188"/>
      <c r="L29" s="130"/>
      <c r="M29" s="130"/>
      <c r="O29" s="168">
        <v>0</v>
      </c>
      <c r="P29" s="131" t="s">
        <v>556</v>
      </c>
    </row>
    <row r="30" spans="1:16" ht="9.75" customHeight="1">
      <c r="A30" s="64"/>
      <c r="E30" s="130"/>
      <c r="F30" s="131">
        <f>K25</f>
        <v>0</v>
      </c>
      <c r="G30" s="131">
        <v>0</v>
      </c>
      <c r="H30" s="148">
        <f>F30-G30</f>
        <v>0</v>
      </c>
      <c r="K30" s="188" t="s">
        <v>307</v>
      </c>
      <c r="L30" s="131"/>
      <c r="M30" s="131">
        <f>K16</f>
        <v>0</v>
      </c>
      <c r="O30" s="155"/>
      <c r="P30" s="131" t="s">
        <v>557</v>
      </c>
    </row>
    <row r="31" spans="1:16" ht="9" customHeight="1">
      <c r="A31" s="133"/>
      <c r="E31" s="130" t="s">
        <v>294</v>
      </c>
      <c r="F31" s="131">
        <v>0</v>
      </c>
      <c r="G31" s="131">
        <v>0</v>
      </c>
      <c r="H31" s="148">
        <f>F31-G31</f>
        <v>0</v>
      </c>
      <c r="K31" s="188" t="s">
        <v>308</v>
      </c>
      <c r="L31" s="131"/>
      <c r="M31" s="131">
        <f>L16+L19+L22+L25</f>
        <v>16913</v>
      </c>
      <c r="O31" s="155"/>
      <c r="P31" s="131" t="s">
        <v>558</v>
      </c>
    </row>
    <row r="32" spans="1:16" s="130" customFormat="1" ht="9" customHeight="1">
      <c r="A32" s="141"/>
      <c r="F32" s="130">
        <v>0</v>
      </c>
      <c r="G32" s="130">
        <v>0</v>
      </c>
      <c r="H32" s="155">
        <f>F32-G32</f>
        <v>0</v>
      </c>
      <c r="I32" s="155"/>
      <c r="K32" s="153" t="s">
        <v>275</v>
      </c>
      <c r="L32" s="153"/>
      <c r="M32" s="172">
        <f>K16+L16+K19+L19+K22+L22+K25+L25+K28+L28</f>
        <v>16913</v>
      </c>
      <c r="O32" s="155"/>
      <c r="P32" s="131" t="s">
        <v>559</v>
      </c>
    </row>
    <row r="33" spans="1:16" ht="9" customHeight="1">
      <c r="A33" s="150" t="s">
        <v>230</v>
      </c>
      <c r="B33" s="151" t="s">
        <v>143</v>
      </c>
      <c r="F33" s="131">
        <v>0</v>
      </c>
      <c r="G33" s="131">
        <v>0</v>
      </c>
      <c r="H33" s="155">
        <f>F33-G33</f>
        <v>0</v>
      </c>
      <c r="I33" s="155"/>
      <c r="O33" s="168">
        <v>301056</v>
      </c>
      <c r="P33" s="131" t="s">
        <v>560</v>
      </c>
    </row>
    <row r="34" spans="1:16" ht="9.75" customHeight="1">
      <c r="A34" s="147">
        <f>'Remettants mars 99'!AB49</f>
        <v>0</v>
      </c>
      <c r="B34" s="152">
        <f>'Remettants mars 99'!AD49</f>
        <v>0</v>
      </c>
      <c r="C34" s="139">
        <f>A34+B34</f>
        <v>0</v>
      </c>
      <c r="D34" s="153" t="s">
        <v>293</v>
      </c>
      <c r="E34" s="153">
        <f>A29</f>
        <v>12</v>
      </c>
      <c r="F34" s="193">
        <f>SUM(F29:F33)</f>
        <v>0</v>
      </c>
      <c r="G34" s="193">
        <f>SUM(G29:G33)</f>
        <v>0</v>
      </c>
      <c r="H34" s="191">
        <f>SUM(H29:H33)</f>
        <v>0</v>
      </c>
      <c r="I34" s="147">
        <f>SUM(I29:I33)</f>
        <v>0</v>
      </c>
      <c r="J34" s="139"/>
      <c r="M34" s="241" t="s">
        <v>354</v>
      </c>
      <c r="N34" s="131"/>
      <c r="O34" s="155">
        <f>'Remettants mars 99'!AD13</f>
        <v>4133</v>
      </c>
      <c r="P34" s="131" t="s">
        <v>561</v>
      </c>
    </row>
    <row r="35" spans="1:16" ht="9" customHeight="1">
      <c r="A35" s="135">
        <f>A8</f>
        <v>13</v>
      </c>
      <c r="B35" s="130"/>
      <c r="C35" s="130"/>
      <c r="D35" s="138"/>
      <c r="E35" s="130" t="s">
        <v>975</v>
      </c>
      <c r="F35" s="130">
        <v>0</v>
      </c>
      <c r="G35" s="130">
        <v>0</v>
      </c>
      <c r="H35" s="168">
        <f>F35-G35</f>
        <v>0</v>
      </c>
      <c r="I35" s="155"/>
      <c r="J35" s="130"/>
      <c r="M35" s="130" t="s">
        <v>1098</v>
      </c>
      <c r="N35" s="135" t="s">
        <v>1182</v>
      </c>
      <c r="O35" s="155">
        <f>'Remettants mars 99'!AD25</f>
        <v>15700</v>
      </c>
      <c r="P35" s="131" t="s">
        <v>562</v>
      </c>
    </row>
    <row r="36" spans="1:16" ht="9.75" customHeight="1">
      <c r="A36" s="64"/>
      <c r="F36" s="131">
        <v>0</v>
      </c>
      <c r="G36" s="131">
        <v>0</v>
      </c>
      <c r="H36" s="155">
        <f>F36-G36</f>
        <v>0</v>
      </c>
      <c r="I36" s="155"/>
      <c r="K36" s="573" t="s">
        <v>277</v>
      </c>
      <c r="L36" s="203">
        <f>A4</f>
        <v>9</v>
      </c>
      <c r="M36" s="131">
        <v>0</v>
      </c>
      <c r="N36" s="135">
        <f>H14</f>
        <v>7135</v>
      </c>
      <c r="O36" s="155">
        <f>'Remettants mars 99'!AD37</f>
        <v>0</v>
      </c>
      <c r="P36" s="131" t="s">
        <v>563</v>
      </c>
    </row>
    <row r="37" spans="1:16" ht="9" customHeight="1">
      <c r="A37" s="64"/>
      <c r="E37" s="130" t="s">
        <v>294</v>
      </c>
      <c r="F37" s="131">
        <v>0</v>
      </c>
      <c r="G37" s="131">
        <v>0</v>
      </c>
      <c r="H37" s="155">
        <f>F37-G37</f>
        <v>0</v>
      </c>
      <c r="I37" s="155"/>
      <c r="K37" s="573" t="s">
        <v>277</v>
      </c>
      <c r="L37" s="574">
        <f>A5</f>
        <v>10</v>
      </c>
      <c r="M37" s="130">
        <v>0</v>
      </c>
      <c r="N37" s="135">
        <f>H19</f>
        <v>0</v>
      </c>
      <c r="O37" s="155">
        <f>'Remettants mars 99'!AD49</f>
        <v>0</v>
      </c>
      <c r="P37" s="131" t="s">
        <v>564</v>
      </c>
    </row>
    <row r="38" spans="1:16" ht="9" customHeight="1">
      <c r="A38" s="133"/>
      <c r="F38" s="131">
        <v>0</v>
      </c>
      <c r="G38" s="131">
        <v>0</v>
      </c>
      <c r="H38" s="155">
        <f>F38-G38</f>
        <v>0</v>
      </c>
      <c r="I38" s="155"/>
      <c r="K38" s="573" t="s">
        <v>277</v>
      </c>
      <c r="L38" s="203">
        <f>A6</f>
        <v>11</v>
      </c>
      <c r="M38" s="131">
        <v>0</v>
      </c>
      <c r="N38" s="135">
        <f>H25</f>
        <v>0</v>
      </c>
      <c r="O38" s="155">
        <f>'Remettants mars 99'!AD61</f>
        <v>0</v>
      </c>
      <c r="P38" s="131" t="s">
        <v>565</v>
      </c>
    </row>
    <row r="39" spans="1:16" ht="9" customHeight="1">
      <c r="A39" s="139"/>
      <c r="C39" s="139"/>
      <c r="D39" s="139"/>
      <c r="E39" s="139"/>
      <c r="F39" s="139">
        <v>0</v>
      </c>
      <c r="G39" s="139">
        <v>0</v>
      </c>
      <c r="H39" s="155">
        <f>F39-G39</f>
        <v>0</v>
      </c>
      <c r="I39" s="155"/>
      <c r="J39" s="139"/>
      <c r="K39" s="573" t="s">
        <v>277</v>
      </c>
      <c r="L39" s="203">
        <f>A7</f>
        <v>12</v>
      </c>
      <c r="M39" s="131">
        <v>0</v>
      </c>
      <c r="N39" s="135">
        <f>H31</f>
        <v>0</v>
      </c>
      <c r="O39" s="155">
        <v>0</v>
      </c>
      <c r="P39" s="131" t="s">
        <v>566</v>
      </c>
    </row>
    <row r="40" spans="1:16" ht="9" customHeight="1">
      <c r="A40" s="150" t="s">
        <v>230</v>
      </c>
      <c r="B40" s="160" t="s">
        <v>143</v>
      </c>
      <c r="C40" s="131">
        <f>A41+B41</f>
        <v>0</v>
      </c>
      <c r="D40" s="153" t="s">
        <v>293</v>
      </c>
      <c r="E40" s="153">
        <f>A35</f>
        <v>13</v>
      </c>
      <c r="F40" s="193">
        <f>SUM(F35:F39)</f>
        <v>0</v>
      </c>
      <c r="G40" s="194">
        <f>SUM(G35:G39)</f>
        <v>0</v>
      </c>
      <c r="H40" s="192">
        <f>SUM(H35:H39)</f>
        <v>0</v>
      </c>
      <c r="I40" s="131">
        <f>SUM(I35:I39)</f>
        <v>0</v>
      </c>
      <c r="J40" s="131"/>
      <c r="K40" s="573" t="s">
        <v>277</v>
      </c>
      <c r="L40" s="203">
        <f>A8</f>
        <v>13</v>
      </c>
      <c r="M40" s="131">
        <v>0</v>
      </c>
      <c r="N40" s="135">
        <f>H37</f>
        <v>0</v>
      </c>
      <c r="O40" s="154">
        <v>0</v>
      </c>
      <c r="P40" s="131" t="s">
        <v>567</v>
      </c>
    </row>
    <row r="41" spans="1:16" ht="9.75" customHeight="1">
      <c r="A41" s="147">
        <f>'Remettants mars 99'!AB61</f>
        <v>0</v>
      </c>
      <c r="B41" s="134">
        <f>'Remettants mars 99'!AD61</f>
        <v>0</v>
      </c>
      <c r="C41" s="161">
        <f>SUM(C12:C40)</f>
        <v>30521</v>
      </c>
      <c r="D41" s="161" t="s">
        <v>254</v>
      </c>
      <c r="E41" s="139">
        <f>B11+C11+C41</f>
        <v>400131</v>
      </c>
      <c r="F41" s="139">
        <f>SUM(F16+F22+F28+F34+F40)</f>
        <v>24048</v>
      </c>
      <c r="G41" s="139">
        <f>SUM(G16+G22+G28+G34+G40)</f>
        <v>0</v>
      </c>
      <c r="H41" s="162">
        <f>SUM(H22+H28+H34+H16+H40)</f>
        <v>24048</v>
      </c>
      <c r="I41" s="163">
        <f>I16+I22+I28+I34+I40</f>
        <v>7368</v>
      </c>
      <c r="J41" s="164">
        <f>J16+J22+J28+J39</f>
        <v>0</v>
      </c>
      <c r="K41" s="131"/>
      <c r="L41" s="131" t="s">
        <v>321</v>
      </c>
      <c r="M41" s="131">
        <f>SUM(M36:M40)</f>
        <v>0</v>
      </c>
      <c r="N41" s="135">
        <f>SUM(N36:N40)</f>
        <v>7135</v>
      </c>
      <c r="O41" s="155">
        <v>0</v>
      </c>
      <c r="P41" s="131" t="s">
        <v>568</v>
      </c>
    </row>
    <row r="42" spans="1:16" ht="9.75" customHeight="1">
      <c r="A42" s="206" t="s">
        <v>277</v>
      </c>
      <c r="B42" s="207">
        <f>A4</f>
        <v>9</v>
      </c>
      <c r="C42" s="143"/>
      <c r="D42" s="208" t="s">
        <v>277</v>
      </c>
      <c r="E42" s="207">
        <f>A5</f>
        <v>10</v>
      </c>
      <c r="F42" s="143"/>
      <c r="G42" s="143"/>
      <c r="H42" s="143" t="s">
        <v>110</v>
      </c>
      <c r="I42" s="166" t="s">
        <v>1137</v>
      </c>
      <c r="J42" s="167" t="s">
        <v>155</v>
      </c>
      <c r="K42" s="143"/>
      <c r="L42" s="143"/>
      <c r="M42" s="143"/>
      <c r="O42" s="154">
        <v>0</v>
      </c>
      <c r="P42" s="131" t="s">
        <v>569</v>
      </c>
    </row>
    <row r="43" spans="1:16" ht="9.75" customHeight="1">
      <c r="A43" s="150" t="s">
        <v>106</v>
      </c>
      <c r="B43" s="169" t="s">
        <v>107</v>
      </c>
      <c r="C43" s="151" t="s">
        <v>108</v>
      </c>
      <c r="D43" s="150" t="s">
        <v>106</v>
      </c>
      <c r="E43" s="169" t="s">
        <v>107</v>
      </c>
      <c r="F43" s="151" t="s">
        <v>108</v>
      </c>
      <c r="G43" s="131"/>
      <c r="H43" s="133" t="s">
        <v>157</v>
      </c>
      <c r="O43" s="155">
        <v>0</v>
      </c>
      <c r="P43" s="131" t="s">
        <v>570</v>
      </c>
    </row>
    <row r="44" spans="1:16" ht="9.75" customHeight="1">
      <c r="A44" s="155" t="s">
        <v>1136</v>
      </c>
      <c r="B44" s="130"/>
      <c r="C44" s="170" t="s">
        <v>109</v>
      </c>
      <c r="D44" s="155" t="s">
        <v>1136</v>
      </c>
      <c r="E44" s="130"/>
      <c r="F44" s="170" t="s">
        <v>109</v>
      </c>
      <c r="G44" s="206" t="s">
        <v>277</v>
      </c>
      <c r="H44" s="207">
        <f>A8</f>
        <v>13</v>
      </c>
      <c r="I44" s="143"/>
      <c r="J44" s="171" t="s">
        <v>104</v>
      </c>
      <c r="K44" s="131"/>
      <c r="L44" s="162">
        <f>M47+I41+J41</f>
        <v>84441</v>
      </c>
      <c r="O44" s="155">
        <v>0</v>
      </c>
      <c r="P44" s="131" t="s">
        <v>571</v>
      </c>
    </row>
    <row r="45" spans="1:16" ht="10.5" customHeight="1">
      <c r="A45" s="147">
        <f>F4+F16</f>
        <v>84870</v>
      </c>
      <c r="B45" s="139">
        <f>G4+G16</f>
        <v>7797</v>
      </c>
      <c r="C45" s="172">
        <f>A45-B45</f>
        <v>77073</v>
      </c>
      <c r="D45" s="147">
        <f>F5+F22</f>
        <v>0</v>
      </c>
      <c r="E45" s="139">
        <f>G5+G22</f>
        <v>0</v>
      </c>
      <c r="F45" s="172">
        <f>D45-E45</f>
        <v>0</v>
      </c>
      <c r="G45" s="150" t="s">
        <v>106</v>
      </c>
      <c r="H45" s="169" t="s">
        <v>107</v>
      </c>
      <c r="I45" s="151" t="s">
        <v>108</v>
      </c>
      <c r="J45" s="135" t="s">
        <v>156</v>
      </c>
      <c r="O45" s="155">
        <v>0</v>
      </c>
      <c r="P45" s="131" t="s">
        <v>1101</v>
      </c>
    </row>
    <row r="46" spans="1:16" ht="9.75" customHeight="1">
      <c r="A46" s="206" t="s">
        <v>277</v>
      </c>
      <c r="B46" s="207">
        <f>A6</f>
        <v>11</v>
      </c>
      <c r="C46" s="143"/>
      <c r="D46" s="208" t="s">
        <v>277</v>
      </c>
      <c r="E46" s="165">
        <f>A7</f>
        <v>12</v>
      </c>
      <c r="F46" s="143"/>
      <c r="G46" s="155" t="s">
        <v>1136</v>
      </c>
      <c r="H46" s="130"/>
      <c r="I46" s="170" t="s">
        <v>109</v>
      </c>
      <c r="O46" s="168">
        <f>SUM(O33:O45)</f>
        <v>320889</v>
      </c>
      <c r="P46" s="131" t="s">
        <v>295</v>
      </c>
    </row>
    <row r="47" spans="1:16" ht="9.75" customHeight="1" thickBot="1">
      <c r="A47" s="150" t="s">
        <v>106</v>
      </c>
      <c r="B47" s="169" t="s">
        <v>107</v>
      </c>
      <c r="C47" s="151" t="s">
        <v>108</v>
      </c>
      <c r="D47" s="150" t="s">
        <v>106</v>
      </c>
      <c r="E47" s="169" t="s">
        <v>107</v>
      </c>
      <c r="F47" s="151" t="s">
        <v>108</v>
      </c>
      <c r="G47" s="147">
        <f>F8+F40</f>
        <v>0</v>
      </c>
      <c r="H47" s="139">
        <f>G8+G40</f>
        <v>0</v>
      </c>
      <c r="I47" s="172">
        <f>G47-H47</f>
        <v>0</v>
      </c>
      <c r="J47" s="135" t="s">
        <v>158</v>
      </c>
      <c r="M47" s="164">
        <f>C45+F45+C49+F49+I47</f>
        <v>77073</v>
      </c>
      <c r="N47" s="131"/>
      <c r="O47" s="131">
        <f>N41</f>
        <v>7135</v>
      </c>
      <c r="P47" s="135" t="s">
        <v>165</v>
      </c>
    </row>
    <row r="48" spans="1:16" ht="11.25" customHeight="1" thickBot="1">
      <c r="A48" s="155" t="s">
        <v>1136</v>
      </c>
      <c r="B48" s="130"/>
      <c r="C48" s="170" t="s">
        <v>109</v>
      </c>
      <c r="D48" s="155" t="s">
        <v>1136</v>
      </c>
      <c r="E48" s="130"/>
      <c r="F48" s="170" t="s">
        <v>109</v>
      </c>
      <c r="G48" s="173" t="s">
        <v>279</v>
      </c>
      <c r="H48" s="173"/>
      <c r="I48" s="144"/>
      <c r="O48" s="210">
        <f>O46-O47</f>
        <v>313754</v>
      </c>
      <c r="P48" s="211" t="s">
        <v>6</v>
      </c>
    </row>
    <row r="49" spans="1:16" ht="13.5" customHeight="1">
      <c r="A49" s="147">
        <f>F6+F28</f>
        <v>0</v>
      </c>
      <c r="B49" s="139">
        <f>G6+G28</f>
        <v>0</v>
      </c>
      <c r="C49" s="172">
        <f>A49-B49</f>
        <v>0</v>
      </c>
      <c r="D49" s="147">
        <f>F7+F34</f>
        <v>0</v>
      </c>
      <c r="E49" s="139">
        <f>G7+G34</f>
        <v>0</v>
      </c>
      <c r="F49" s="172">
        <f>D49-E49</f>
        <v>0</v>
      </c>
      <c r="G49" s="135">
        <f>F9+F41</f>
        <v>84870</v>
      </c>
      <c r="H49" s="131" t="s">
        <v>292</v>
      </c>
      <c r="I49" s="131"/>
      <c r="J49" s="135" t="s">
        <v>225</v>
      </c>
      <c r="K49" s="130"/>
      <c r="L49" s="130"/>
      <c r="M49" s="209">
        <f ca="1">NOW()</f>
        <v>34767.93440208333</v>
      </c>
      <c r="N49" s="253">
        <f>N4+O23+O48</f>
        <v>385983</v>
      </c>
      <c r="O49" s="131"/>
      <c r="P49" s="135" t="s">
        <v>154</v>
      </c>
    </row>
    <row r="50" ht="9" customHeight="1"/>
    <row r="51" spans="2:8" ht="9" customHeight="1">
      <c r="B51" s="146"/>
      <c r="H51" s="135"/>
    </row>
    <row r="52" spans="2:14" ht="9" customHeight="1">
      <c r="B52" s="146"/>
      <c r="H52" s="130"/>
      <c r="I52" s="130"/>
      <c r="J52" s="130"/>
      <c r="K52" s="130"/>
      <c r="L52" s="130"/>
      <c r="M52" s="130"/>
      <c r="N52" s="130"/>
    </row>
    <row r="53" spans="2:14" ht="9.75" customHeight="1">
      <c r="B53" s="146"/>
      <c r="C53" s="146"/>
      <c r="H53" s="130"/>
      <c r="I53" s="130"/>
      <c r="J53" s="130"/>
      <c r="K53" s="130"/>
      <c r="L53" s="130"/>
      <c r="M53" s="130"/>
      <c r="N53" s="130"/>
    </row>
    <row r="54" spans="2:14" ht="9.75" customHeight="1">
      <c r="B54" s="146"/>
      <c r="C54" s="146"/>
      <c r="H54" s="130"/>
      <c r="I54" s="130"/>
      <c r="J54" s="130"/>
      <c r="K54" s="130"/>
      <c r="L54" s="130"/>
      <c r="M54" s="130"/>
      <c r="N54" s="130"/>
    </row>
    <row r="55" spans="2:14" ht="9.75" customHeight="1">
      <c r="B55" s="146"/>
      <c r="C55" s="146"/>
      <c r="H55" s="130"/>
      <c r="I55" s="130"/>
      <c r="J55" s="130"/>
      <c r="K55" s="130"/>
      <c r="L55" s="130"/>
      <c r="M55" s="130"/>
      <c r="N55" s="130"/>
    </row>
    <row r="56" spans="2:14" ht="9.75" customHeight="1">
      <c r="B56" s="146"/>
      <c r="C56" s="146"/>
      <c r="H56" s="130"/>
      <c r="I56" s="130"/>
      <c r="J56" s="130"/>
      <c r="K56" s="130"/>
      <c r="L56" s="130"/>
      <c r="M56" s="130"/>
      <c r="N56" s="130"/>
    </row>
    <row r="57" spans="2:14" ht="9.75" customHeight="1">
      <c r="B57" s="146"/>
      <c r="C57" s="146"/>
      <c r="J57" s="130"/>
      <c r="K57" s="130"/>
      <c r="L57" s="130"/>
      <c r="M57" s="130"/>
      <c r="N57" s="130"/>
    </row>
    <row r="58" spans="2:14" ht="9.75" customHeight="1">
      <c r="B58" s="146"/>
      <c r="C58" s="146"/>
      <c r="J58" s="130"/>
      <c r="K58" s="130"/>
      <c r="L58" s="130"/>
      <c r="M58" s="130"/>
      <c r="N58" s="130"/>
    </row>
    <row r="59" spans="10:14" ht="9.75" customHeight="1">
      <c r="J59" s="130"/>
      <c r="K59" s="130"/>
      <c r="L59" s="130"/>
      <c r="M59" s="130"/>
      <c r="N59" s="130"/>
    </row>
    <row r="60" spans="10:14" ht="9.75" customHeight="1">
      <c r="J60" s="130"/>
      <c r="K60" s="130"/>
      <c r="L60" s="130"/>
      <c r="M60" s="130"/>
      <c r="N60" s="130"/>
    </row>
    <row r="61" spans="10:14" ht="9.75" customHeight="1">
      <c r="J61" s="130"/>
      <c r="K61" s="130"/>
      <c r="L61" s="130"/>
      <c r="M61" s="130"/>
      <c r="N61" s="130"/>
    </row>
    <row r="62" spans="10:14" ht="9.75" customHeight="1">
      <c r="J62" s="130"/>
      <c r="K62" s="130"/>
      <c r="L62" s="130"/>
      <c r="M62" s="130"/>
      <c r="N62" s="130"/>
    </row>
    <row r="63" spans="10:14" ht="9.75" customHeight="1">
      <c r="J63" s="130"/>
      <c r="K63" s="130"/>
      <c r="L63" s="130"/>
      <c r="M63" s="130"/>
      <c r="N63" s="130"/>
    </row>
    <row r="64" spans="3:14" ht="9.75" customHeight="1">
      <c r="C64" s="130"/>
      <c r="J64" s="130"/>
      <c r="K64" s="130"/>
      <c r="L64" s="130"/>
      <c r="M64" s="130"/>
      <c r="N64" s="130"/>
    </row>
    <row r="65" ht="9.75" customHeight="1">
      <c r="C65" s="212"/>
    </row>
    <row r="70" spans="2:3" ht="9.75" customHeight="1">
      <c r="B70" s="130"/>
      <c r="C70" s="130"/>
    </row>
    <row r="73" ht="9.75" customHeight="1">
      <c r="B73" s="135"/>
    </row>
    <row r="75" ht="9.75" customHeight="1">
      <c r="D75" s="135"/>
    </row>
    <row r="76" spans="2:4" ht="9.75" customHeight="1">
      <c r="B76" s="135"/>
      <c r="D76" s="135"/>
    </row>
    <row r="78" ht="9.75" customHeight="1">
      <c r="C78" s="135"/>
    </row>
  </sheetData>
  <mergeCells count="2">
    <mergeCell ref="O24:P24"/>
    <mergeCell ref="O1:P1"/>
  </mergeCells>
  <printOptions/>
  <pageMargins left="0.7874015748031497" right="0.7874015748031497" top="0.5905511811023623" bottom="0.5905511811023623" header="0.31496062992125984" footer="0.31496062992125984"/>
  <pageSetup horizontalDpi="300" verticalDpi="300" orientation="landscape" paperSize="9" scale="92" r:id="rId3"/>
  <headerFooter alignWithMargins="0">
    <oddHeader>&amp;LDe Ski&amp;C&amp;A&amp;RConfidentiel/Ghu</oddHeader>
    <oddFooter>&amp;CMouvement des Stocks  Piles et Accu &amp;D&amp;RPage &amp;P</oddFooter>
  </headerFooter>
  <rowBreaks count="1" manualBreakCount="1">
    <brk id="53" max="255" man="1"/>
  </rowBreaks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Feuil15"/>
  <dimension ref="A1:K70"/>
  <sheetViews>
    <sheetView workbookViewId="0" topLeftCell="A56">
      <selection activeCell="A29" sqref="A29"/>
    </sheetView>
  </sheetViews>
  <sheetFormatPr defaultColWidth="11.421875" defaultRowHeight="12.75"/>
  <cols>
    <col min="1" max="1" width="10.28125" style="0" customWidth="1"/>
    <col min="2" max="2" width="11.57421875" style="0" customWidth="1"/>
    <col min="3" max="3" width="4.28125" style="0" customWidth="1"/>
    <col min="4" max="4" width="12.140625" style="0" customWidth="1"/>
    <col min="6" max="6" width="10.8515625" style="0" customWidth="1"/>
    <col min="8" max="8" width="8.421875" style="0" customWidth="1"/>
    <col min="9" max="9" width="10.28125" style="0" customWidth="1"/>
    <col min="10" max="10" width="10.421875" style="0" customWidth="1"/>
    <col min="11" max="11" width="10.28125" style="0" customWidth="1"/>
  </cols>
  <sheetData>
    <row r="1" spans="1:8" ht="15.75">
      <c r="A1" t="s">
        <v>310</v>
      </c>
      <c r="F1" t="s">
        <v>314</v>
      </c>
      <c r="H1" s="233" t="s">
        <v>333</v>
      </c>
    </row>
    <row r="2" spans="1:9" ht="12.75">
      <c r="A2" t="s">
        <v>311</v>
      </c>
      <c r="I2" s="234">
        <v>34673</v>
      </c>
    </row>
    <row r="3" spans="1:7" ht="12.75">
      <c r="A3" s="520" t="s">
        <v>334</v>
      </c>
      <c r="D3" t="s">
        <v>315</v>
      </c>
      <c r="G3" t="s">
        <v>277</v>
      </c>
    </row>
    <row r="4" spans="1:9" ht="12.75">
      <c r="A4" s="520" t="s">
        <v>335</v>
      </c>
      <c r="C4" t="s">
        <v>312</v>
      </c>
      <c r="H4" t="s">
        <v>320</v>
      </c>
      <c r="I4" s="3" t="s">
        <v>328</v>
      </c>
    </row>
    <row r="5" spans="1:11" ht="12.75">
      <c r="A5" s="222" t="s">
        <v>327</v>
      </c>
      <c r="B5" t="s">
        <v>318</v>
      </c>
      <c r="D5" t="s">
        <v>319</v>
      </c>
      <c r="H5" s="224" t="s">
        <v>316</v>
      </c>
      <c r="I5" s="235" t="s">
        <v>350</v>
      </c>
      <c r="J5" t="s">
        <v>349</v>
      </c>
      <c r="K5" s="520" t="s">
        <v>337</v>
      </c>
    </row>
    <row r="6" spans="1:11" ht="12.75">
      <c r="B6" s="224" t="s">
        <v>103</v>
      </c>
      <c r="D6" s="224" t="s">
        <v>157</v>
      </c>
      <c r="K6" t="s">
        <v>338</v>
      </c>
    </row>
    <row r="7" spans="1:3" ht="11.25" customHeight="1">
      <c r="A7" t="s">
        <v>999</v>
      </c>
      <c r="C7">
        <v>9</v>
      </c>
    </row>
    <row r="8" spans="1:11" ht="11.25" customHeight="1">
      <c r="A8" t="s">
        <v>1000</v>
      </c>
      <c r="C8">
        <v>10</v>
      </c>
      <c r="K8" s="520" t="s">
        <v>336</v>
      </c>
    </row>
    <row r="9" spans="1:11" ht="11.25" customHeight="1">
      <c r="A9" t="s">
        <v>1001</v>
      </c>
      <c r="C9">
        <v>11</v>
      </c>
      <c r="K9" t="s">
        <v>339</v>
      </c>
    </row>
    <row r="10" spans="1:3" ht="11.25" customHeight="1">
      <c r="A10" t="s">
        <v>1002</v>
      </c>
      <c r="C10">
        <v>12</v>
      </c>
    </row>
    <row r="11" spans="1:3" ht="11.25" customHeight="1">
      <c r="A11" t="s">
        <v>1003</v>
      </c>
      <c r="C11">
        <v>13</v>
      </c>
    </row>
    <row r="12" spans="1:3" ht="11.25" customHeight="1">
      <c r="A12" t="s">
        <v>1004</v>
      </c>
      <c r="C12">
        <v>14</v>
      </c>
    </row>
    <row r="13" spans="1:3" ht="11.25" customHeight="1">
      <c r="A13" t="s">
        <v>1005</v>
      </c>
      <c r="C13">
        <v>15</v>
      </c>
    </row>
    <row r="14" spans="1:9" ht="11.25" customHeight="1">
      <c r="A14" t="s">
        <v>1006</v>
      </c>
      <c r="C14">
        <v>16</v>
      </c>
      <c r="H14" s="223"/>
      <c r="I14" s="3" t="s">
        <v>328</v>
      </c>
    </row>
    <row r="15" spans="1:11" ht="10.5" customHeight="1">
      <c r="A15" s="223" t="s">
        <v>322</v>
      </c>
      <c r="B15" s="223"/>
      <c r="C15" s="223"/>
      <c r="D15" s="223"/>
      <c r="E15" s="223">
        <f>E7+E8+E9+E10+E11+E12+E13+E14</f>
        <v>0</v>
      </c>
      <c r="F15" s="223"/>
      <c r="H15" t="s">
        <v>320</v>
      </c>
      <c r="I15" s="235" t="s">
        <v>350</v>
      </c>
      <c r="J15" t="s">
        <v>349</v>
      </c>
    </row>
    <row r="16" spans="1:8" ht="10.5" customHeight="1">
      <c r="A16" s="222" t="s">
        <v>323</v>
      </c>
      <c r="B16" t="s">
        <v>317</v>
      </c>
      <c r="C16" t="s">
        <v>318</v>
      </c>
      <c r="E16" t="s">
        <v>319</v>
      </c>
      <c r="H16" s="220" t="s">
        <v>316</v>
      </c>
    </row>
    <row r="17" spans="1:5" ht="10.5" customHeight="1">
      <c r="A17" s="221"/>
      <c r="C17" s="220" t="s">
        <v>103</v>
      </c>
      <c r="E17" s="220" t="s">
        <v>157</v>
      </c>
    </row>
    <row r="18" spans="1:3" ht="11.25" customHeight="1">
      <c r="A18" t="s">
        <v>999</v>
      </c>
      <c r="C18">
        <v>9</v>
      </c>
    </row>
    <row r="19" spans="1:3" ht="11.25" customHeight="1">
      <c r="A19" t="s">
        <v>1000</v>
      </c>
      <c r="C19">
        <v>10</v>
      </c>
    </row>
    <row r="20" spans="1:3" ht="11.25" customHeight="1">
      <c r="A20" t="s">
        <v>1001</v>
      </c>
      <c r="C20">
        <v>11</v>
      </c>
    </row>
    <row r="21" spans="1:3" ht="11.25" customHeight="1">
      <c r="A21" t="s">
        <v>1002</v>
      </c>
      <c r="C21">
        <v>12</v>
      </c>
    </row>
    <row r="22" spans="1:3" ht="11.25" customHeight="1">
      <c r="A22" t="s">
        <v>1003</v>
      </c>
      <c r="C22">
        <v>13</v>
      </c>
    </row>
    <row r="23" spans="1:3" ht="11.25" customHeight="1">
      <c r="A23" t="s">
        <v>1004</v>
      </c>
      <c r="C23">
        <v>14</v>
      </c>
    </row>
    <row r="24" spans="1:3" ht="11.25" customHeight="1">
      <c r="A24" t="s">
        <v>1005</v>
      </c>
      <c r="C24">
        <v>15</v>
      </c>
    </row>
    <row r="25" spans="1:8" ht="11.25" customHeight="1">
      <c r="A25" t="s">
        <v>1006</v>
      </c>
      <c r="C25">
        <v>16</v>
      </c>
      <c r="H25" s="223"/>
    </row>
    <row r="26" spans="1:10" ht="10.5" customHeight="1">
      <c r="A26" s="223" t="s">
        <v>321</v>
      </c>
      <c r="B26" s="223"/>
      <c r="C26" s="223"/>
      <c r="D26" s="223"/>
      <c r="E26" s="223">
        <f>E18+E19+E20+E21+E22+E23+E24+E25</f>
        <v>0</v>
      </c>
      <c r="F26" s="223"/>
      <c r="H26" t="s">
        <v>320</v>
      </c>
      <c r="I26" s="3" t="s">
        <v>328</v>
      </c>
    </row>
    <row r="27" spans="1:10" ht="10.5" customHeight="1">
      <c r="A27" s="222" t="s">
        <v>324</v>
      </c>
      <c r="B27" t="s">
        <v>317</v>
      </c>
      <c r="C27" t="s">
        <v>318</v>
      </c>
      <c r="E27" t="s">
        <v>319</v>
      </c>
      <c r="H27" s="220" t="s">
        <v>316</v>
      </c>
      <c r="I27" s="235" t="s">
        <v>350</v>
      </c>
      <c r="J27" t="s">
        <v>349</v>
      </c>
    </row>
    <row r="28" spans="1:5" ht="10.5" customHeight="1">
      <c r="A28" s="221"/>
      <c r="C28" s="220" t="s">
        <v>103</v>
      </c>
      <c r="E28" s="220" t="s">
        <v>157</v>
      </c>
    </row>
    <row r="29" spans="1:5" ht="11.25" customHeight="1">
      <c r="A29">
        <v>1</v>
      </c>
      <c r="C29">
        <v>9</v>
      </c>
      <c r="D29">
        <v>9</v>
      </c>
      <c r="E29">
        <v>0</v>
      </c>
    </row>
    <row r="30" spans="1:5" ht="11.25" customHeight="1">
      <c r="A30">
        <v>2</v>
      </c>
      <c r="C30">
        <v>10</v>
      </c>
      <c r="D30">
        <v>10</v>
      </c>
      <c r="E30">
        <v>0</v>
      </c>
    </row>
    <row r="31" spans="1:5" ht="11.25" customHeight="1">
      <c r="A31">
        <v>3</v>
      </c>
      <c r="C31">
        <v>11</v>
      </c>
      <c r="D31">
        <v>11</v>
      </c>
      <c r="E31">
        <v>0</v>
      </c>
    </row>
    <row r="32" spans="1:5" ht="11.25" customHeight="1">
      <c r="A32">
        <v>4</v>
      </c>
      <c r="C32">
        <v>12</v>
      </c>
      <c r="D32">
        <v>12</v>
      </c>
      <c r="E32">
        <v>0</v>
      </c>
    </row>
    <row r="33" spans="1:5" ht="11.25" customHeight="1">
      <c r="A33">
        <v>5</v>
      </c>
      <c r="C33">
        <v>13</v>
      </c>
      <c r="D33">
        <v>13</v>
      </c>
      <c r="E33">
        <v>0</v>
      </c>
    </row>
    <row r="34" spans="1:5" ht="11.25" customHeight="1">
      <c r="A34">
        <v>6</v>
      </c>
      <c r="C34">
        <v>14</v>
      </c>
      <c r="D34">
        <v>14</v>
      </c>
      <c r="E34">
        <v>0</v>
      </c>
    </row>
    <row r="35" spans="1:5" ht="11.25" customHeight="1">
      <c r="A35">
        <v>7</v>
      </c>
      <c r="C35">
        <v>15</v>
      </c>
      <c r="D35">
        <v>15</v>
      </c>
      <c r="E35">
        <v>0</v>
      </c>
    </row>
    <row r="36" spans="1:8" ht="11.25" customHeight="1">
      <c r="A36">
        <v>8</v>
      </c>
      <c r="C36">
        <v>16</v>
      </c>
      <c r="D36">
        <v>16</v>
      </c>
      <c r="E36">
        <v>0</v>
      </c>
      <c r="H36" s="223"/>
    </row>
    <row r="37" spans="1:10" ht="10.5" customHeight="1">
      <c r="A37" s="223" t="s">
        <v>321</v>
      </c>
      <c r="B37" s="223"/>
      <c r="C37" s="223"/>
      <c r="D37" s="223"/>
      <c r="E37" s="223">
        <f>E29+E30+E31+E32+E33+E34+E35+E36</f>
        <v>0</v>
      </c>
      <c r="F37" s="223"/>
      <c r="H37" t="s">
        <v>320</v>
      </c>
      <c r="I37" s="3" t="s">
        <v>328</v>
      </c>
    </row>
    <row r="38" spans="1:10" ht="10.5" customHeight="1">
      <c r="A38" s="222" t="s">
        <v>325</v>
      </c>
      <c r="B38" t="s">
        <v>317</v>
      </c>
      <c r="C38" t="s">
        <v>318</v>
      </c>
      <c r="E38" t="s">
        <v>319</v>
      </c>
      <c r="H38" s="220" t="s">
        <v>316</v>
      </c>
      <c r="I38" s="235" t="s">
        <v>350</v>
      </c>
      <c r="J38" t="s">
        <v>349</v>
      </c>
    </row>
    <row r="39" spans="1:5" ht="10.5" customHeight="1">
      <c r="A39" s="221"/>
      <c r="C39" s="220" t="s">
        <v>103</v>
      </c>
      <c r="E39" s="220" t="s">
        <v>157</v>
      </c>
    </row>
    <row r="40" spans="1:5" ht="11.25" customHeight="1">
      <c r="B40">
        <v>1</v>
      </c>
      <c r="D40">
        <v>9</v>
      </c>
      <c r="E40">
        <v>0</v>
      </c>
    </row>
    <row r="41" spans="1:5" ht="11.25" customHeight="1">
      <c r="B41">
        <v>2</v>
      </c>
      <c r="D41">
        <v>10</v>
      </c>
      <c r="E41">
        <v>0</v>
      </c>
    </row>
    <row r="42" spans="1:5" ht="11.25" customHeight="1">
      <c r="B42">
        <v>3</v>
      </c>
      <c r="D42">
        <v>11</v>
      </c>
      <c r="E42">
        <v>0</v>
      </c>
    </row>
    <row r="43" spans="1:5" ht="11.25" customHeight="1">
      <c r="B43">
        <v>4</v>
      </c>
      <c r="D43">
        <v>12</v>
      </c>
      <c r="E43">
        <v>0</v>
      </c>
    </row>
    <row r="44" spans="1:5" ht="11.25" customHeight="1">
      <c r="B44">
        <v>5</v>
      </c>
      <c r="D44">
        <v>13</v>
      </c>
      <c r="E44">
        <v>0</v>
      </c>
    </row>
    <row r="45" spans="1:4" ht="11.25" customHeight="1">
      <c r="B45">
        <v>6</v>
      </c>
      <c r="D45">
        <v>14</v>
      </c>
    </row>
    <row r="46" spans="1:4" ht="11.25" customHeight="1">
      <c r="B46">
        <v>7</v>
      </c>
      <c r="D46">
        <v>15</v>
      </c>
    </row>
    <row r="47" spans="1:8" ht="11.25" customHeight="1">
      <c r="B47">
        <v>8</v>
      </c>
      <c r="D47">
        <v>16</v>
      </c>
      <c r="H47" s="223"/>
    </row>
    <row r="48" spans="1:10" ht="10.5" customHeight="1">
      <c r="A48" s="223" t="s">
        <v>321</v>
      </c>
      <c r="B48" s="223"/>
      <c r="C48" s="223"/>
      <c r="D48" s="223"/>
      <c r="E48">
        <f>SUM(E40:E47)</f>
        <v>0</v>
      </c>
      <c r="F48" s="223"/>
      <c r="H48" t="s">
        <v>320</v>
      </c>
      <c r="I48" s="3" t="s">
        <v>328</v>
      </c>
    </row>
    <row r="49" spans="1:10" ht="10.5" customHeight="1">
      <c r="A49" s="222" t="s">
        <v>326</v>
      </c>
      <c r="B49" t="s">
        <v>317</v>
      </c>
      <c r="C49" t="s">
        <v>318</v>
      </c>
      <c r="E49" t="s">
        <v>319</v>
      </c>
      <c r="H49" s="220" t="s">
        <v>316</v>
      </c>
      <c r="I49" s="235" t="s">
        <v>350</v>
      </c>
      <c r="J49" t="s">
        <v>349</v>
      </c>
    </row>
    <row r="50" spans="1:5" ht="10.5" customHeight="1">
      <c r="A50" s="221"/>
      <c r="C50" s="220" t="s">
        <v>103</v>
      </c>
      <c r="E50" s="220" t="s">
        <v>157</v>
      </c>
    </row>
    <row r="51" spans="1:5" ht="11.25" customHeight="1">
      <c r="B51">
        <v>1</v>
      </c>
      <c r="E51">
        <v>0</v>
      </c>
    </row>
    <row r="52" spans="1:5" ht="11.25" customHeight="1">
      <c r="B52">
        <v>2</v>
      </c>
      <c r="E52">
        <v>0</v>
      </c>
    </row>
    <row r="53" spans="1:5" ht="11.25" customHeight="1">
      <c r="B53">
        <v>3</v>
      </c>
      <c r="E53">
        <v>0</v>
      </c>
    </row>
    <row r="54" spans="1:5" ht="11.25" customHeight="1">
      <c r="B54">
        <v>4</v>
      </c>
      <c r="E54">
        <v>0</v>
      </c>
    </row>
    <row r="55" spans="1:5" ht="11.25" customHeight="1">
      <c r="B55">
        <v>5</v>
      </c>
      <c r="E55">
        <v>0</v>
      </c>
    </row>
    <row r="56" spans="1:5" ht="11.25" customHeight="1">
      <c r="B56">
        <v>6</v>
      </c>
      <c r="E56">
        <v>0</v>
      </c>
    </row>
    <row r="57" spans="1:5" ht="11.25" customHeight="1">
      <c r="B57">
        <v>7</v>
      </c>
      <c r="E57">
        <v>0</v>
      </c>
    </row>
    <row r="58" spans="1:2" ht="11.25" customHeight="1">
      <c r="B58">
        <v>8</v>
      </c>
    </row>
    <row r="59" spans="1:7" ht="10.5" customHeight="1">
      <c r="A59" s="223" t="s">
        <v>321</v>
      </c>
      <c r="B59" s="223"/>
      <c r="C59" s="223"/>
      <c r="D59" s="223"/>
      <c r="E59" s="223">
        <f>E51+E52+E53+E54+E55+E56+E57+E58</f>
        <v>0</v>
      </c>
      <c r="F59" s="223"/>
      <c r="G59" s="223"/>
    </row>
    <row r="60" spans="3:8" ht="10.5" customHeight="1">
      <c r="C60" s="220" t="s">
        <v>340</v>
      </c>
      <c r="D60" s="220" t="s">
        <v>341</v>
      </c>
      <c r="E60" s="220" t="s">
        <v>342</v>
      </c>
      <c r="F60" s="220" t="s">
        <v>343</v>
      </c>
      <c r="G60" s="220" t="s">
        <v>344</v>
      </c>
      <c r="H60" s="220" t="s">
        <v>345</v>
      </c>
    </row>
    <row r="61" spans="1:8" ht="10.5" customHeight="1">
      <c r="A61" s="223" t="s">
        <v>43</v>
      </c>
      <c r="B61" s="223"/>
      <c r="C61" s="223"/>
      <c r="D61" s="232"/>
      <c r="E61" s="238">
        <f>'MDT Tri VIBRATEUR'!E61</f>
        <v>0</v>
      </c>
      <c r="F61" s="239">
        <f>E15+E26+E37+E48+E59</f>
        <v>0</v>
      </c>
      <c r="G61" s="223"/>
      <c r="H61" s="232"/>
    </row>
    <row r="62" spans="1:8" ht="10.5" customHeight="1">
      <c r="A62" t="s">
        <v>2</v>
      </c>
      <c r="C62" s="645"/>
      <c r="D62" s="646"/>
      <c r="E62" s="645"/>
      <c r="F62" s="646"/>
      <c r="G62" s="645"/>
      <c r="H62" s="646"/>
    </row>
    <row r="63" ht="10.5" customHeight="1">
      <c r="H63" s="236"/>
    </row>
    <row r="64" spans="3:10" ht="10.5" customHeight="1">
      <c r="C64" t="s">
        <v>346</v>
      </c>
      <c r="G64" s="97" t="s">
        <v>351</v>
      </c>
      <c r="H64" s="30"/>
      <c r="I64" s="237">
        <v>0</v>
      </c>
    </row>
    <row r="65" spans="3:6" ht="10.5" customHeight="1">
      <c r="C65" t="s">
        <v>329</v>
      </c>
      <c r="D65" t="s">
        <v>330</v>
      </c>
      <c r="E65" t="s">
        <v>331</v>
      </c>
      <c r="F65" t="s">
        <v>332</v>
      </c>
    </row>
    <row r="66" spans="1:9" ht="10.5" customHeight="1">
      <c r="A66" s="223" t="s">
        <v>2</v>
      </c>
      <c r="G66" t="s">
        <v>352</v>
      </c>
      <c r="H66" s="30"/>
      <c r="I66" s="237"/>
    </row>
    <row r="67" ht="10.5" customHeight="1"/>
    <row r="68" spans="1:7" ht="10.5" customHeight="1">
      <c r="A68" s="226" t="s">
        <v>348</v>
      </c>
      <c r="B68" s="227"/>
      <c r="C68" s="227"/>
      <c r="D68" s="227"/>
      <c r="E68" s="228"/>
      <c r="G68" s="30" t="s">
        <v>347</v>
      </c>
    </row>
    <row r="69" spans="1:9" ht="10.5" customHeight="1">
      <c r="A69" s="231"/>
      <c r="B69" s="59"/>
      <c r="C69" s="59"/>
      <c r="D69" s="59"/>
      <c r="E69" s="31"/>
      <c r="I69" s="237"/>
    </row>
    <row r="70" spans="1:5" ht="10.5" customHeight="1">
      <c r="A70" s="229"/>
      <c r="B70" s="98"/>
      <c r="C70" s="98"/>
      <c r="D70" s="98"/>
      <c r="E70" s="230"/>
    </row>
    <row r="71" ht="10.5" customHeight="1"/>
    <row r="72" ht="10.5" customHeight="1"/>
    <row r="73" ht="10.5" customHeight="1"/>
  </sheetData>
  <mergeCells count="3">
    <mergeCell ref="C62:D62"/>
    <mergeCell ref="E62:F62"/>
    <mergeCell ref="G62:H62"/>
  </mergeCells>
  <printOptions gridLines="1"/>
  <pageMargins left="0.7874015748031497" right="0.7874015748031497" top="0.5905511811023623" bottom="0.5905511811023623" header="0.31496062992125984" footer="0.31496062992125984"/>
  <pageSetup horizontalDpi="300" verticalDpi="300" orientation="portrait" paperSize="9" scale="7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Feuil1"/>
  <dimension ref="A1:I70"/>
  <sheetViews>
    <sheetView workbookViewId="0" topLeftCell="A1">
      <selection activeCell="A1" sqref="A1"/>
    </sheetView>
  </sheetViews>
  <sheetFormatPr defaultColWidth="11.421875" defaultRowHeight="12.75"/>
  <cols>
    <col min="1" max="1" width="10.28125" style="0" customWidth="1"/>
    <col min="2" max="2" width="4.28125" style="0" customWidth="1"/>
    <col min="4" max="4" width="10.57421875" style="0" customWidth="1"/>
    <col min="6" max="6" width="10.8515625" style="0" customWidth="1"/>
    <col min="8" max="8" width="8.421875" style="0" customWidth="1"/>
  </cols>
  <sheetData>
    <row r="1" spans="1:9" ht="15.75">
      <c r="A1" t="s">
        <v>310</v>
      </c>
      <c r="F1" t="s">
        <v>314</v>
      </c>
      <c r="H1" s="233" t="s">
        <v>333</v>
      </c>
    </row>
    <row r="2" spans="1:9" ht="12.75">
      <c r="A2" t="s">
        <v>311</v>
      </c>
      <c r="H2" t="s">
        <v>1167</v>
      </c>
      <c r="I2" s="234"/>
    </row>
    <row r="3" spans="4:7" ht="12.75">
      <c r="D3" t="s">
        <v>315</v>
      </c>
      <c r="G3" t="s">
        <v>277</v>
      </c>
    </row>
    <row r="4" ht="12.75">
      <c r="C4" t="s">
        <v>312</v>
      </c>
    </row>
    <row r="5" spans="1:9" ht="12.75">
      <c r="A5" s="222" t="s">
        <v>327</v>
      </c>
      <c r="B5" t="s">
        <v>317</v>
      </c>
      <c r="C5" t="s">
        <v>318</v>
      </c>
      <c r="D5" s="225" t="s">
        <v>334</v>
      </c>
      <c r="E5" t="s">
        <v>319</v>
      </c>
      <c r="F5" s="225" t="s">
        <v>335</v>
      </c>
      <c r="G5" t="s">
        <v>320</v>
      </c>
      <c r="H5" s="3" t="s">
        <v>328</v>
      </c>
    </row>
    <row r="6" spans="1:9" ht="12.75">
      <c r="A6" s="221"/>
      <c r="C6" s="224" t="s">
        <v>103</v>
      </c>
      <c r="E6" s="224" t="s">
        <v>157</v>
      </c>
      <c r="G6" s="224" t="s">
        <v>316</v>
      </c>
      <c r="H6" s="235" t="s">
        <v>350</v>
      </c>
      <c r="I6" t="s">
        <v>349</v>
      </c>
    </row>
    <row r="7" spans="1:7" ht="11.25" customHeight="1">
      <c r="A7" s="225" t="s">
        <v>337</v>
      </c>
      <c r="B7">
        <v>1</v>
      </c>
      <c r="C7">
        <v>0</v>
      </c>
      <c r="E7">
        <v>0</v>
      </c>
      <c r="G7">
        <v>0</v>
      </c>
    </row>
    <row r="8" spans="1:7" ht="11.25" customHeight="1">
      <c r="A8" t="s">
        <v>338</v>
      </c>
      <c r="B8">
        <v>2</v>
      </c>
      <c r="C8">
        <v>0</v>
      </c>
      <c r="E8">
        <v>0</v>
      </c>
      <c r="G8">
        <v>0</v>
      </c>
    </row>
    <row r="9" spans="1:7" ht="11.25" customHeight="1">
      <c r="B9">
        <v>3</v>
      </c>
      <c r="C9">
        <v>0</v>
      </c>
      <c r="E9">
        <v>0</v>
      </c>
      <c r="G9">
        <v>0</v>
      </c>
    </row>
    <row r="10" spans="1:7" ht="11.25" customHeight="1">
      <c r="A10" s="225" t="s">
        <v>336</v>
      </c>
      <c r="B10">
        <v>4</v>
      </c>
      <c r="C10">
        <v>0</v>
      </c>
      <c r="E10">
        <v>0</v>
      </c>
      <c r="G10">
        <v>0</v>
      </c>
    </row>
    <row r="11" spans="1:7" ht="11.25" customHeight="1">
      <c r="A11" t="s">
        <v>339</v>
      </c>
      <c r="B11">
        <v>5</v>
      </c>
      <c r="C11">
        <v>0</v>
      </c>
      <c r="E11">
        <v>0</v>
      </c>
      <c r="G11">
        <v>0</v>
      </c>
    </row>
    <row r="12" spans="1:7" ht="11.25" customHeight="1">
      <c r="B12">
        <v>6</v>
      </c>
      <c r="E12">
        <v>0</v>
      </c>
      <c r="G12">
        <v>0</v>
      </c>
    </row>
    <row r="13" spans="1:7" ht="11.25" customHeight="1">
      <c r="B13">
        <v>7</v>
      </c>
      <c r="E13">
        <v>0</v>
      </c>
      <c r="G13">
        <v>0</v>
      </c>
    </row>
    <row r="14" spans="1:7" ht="11.25" customHeight="1">
      <c r="B14">
        <v>8</v>
      </c>
      <c r="E14">
        <v>0</v>
      </c>
      <c r="G14">
        <v>0</v>
      </c>
    </row>
    <row r="15" spans="1:9" ht="10.5" customHeight="1">
      <c r="A15" s="223" t="s">
        <v>322</v>
      </c>
      <c r="B15" s="223"/>
      <c r="C15" s="223">
        <f>SUM(C7:C14)</f>
        <v>0</v>
      </c>
      <c r="D15" s="238">
        <f>SUM(D7:D14)+C15</f>
        <v>0</v>
      </c>
      <c r="E15" s="554">
        <f>E7+E8+E9+E10+E11+E12+E13+E14</f>
        <v>0</v>
      </c>
      <c r="F15" s="238">
        <f>E15+F7+F8+F9+F10+F11+F12+F13+F14</f>
        <v>0</v>
      </c>
      <c r="G15" s="238">
        <f>SUM(G7:G14)</f>
        <v>0</v>
      </c>
      <c r="H15" s="3" t="s">
        <v>328</v>
      </c>
    </row>
    <row r="16" spans="1:9" ht="10.5" customHeight="1">
      <c r="A16" s="222" t="s">
        <v>323</v>
      </c>
      <c r="B16" t="s">
        <v>317</v>
      </c>
      <c r="C16" t="s">
        <v>318</v>
      </c>
      <c r="E16" t="s">
        <v>319</v>
      </c>
      <c r="G16" t="s">
        <v>320</v>
      </c>
      <c r="H16" s="235" t="s">
        <v>350</v>
      </c>
      <c r="I16" t="s">
        <v>349</v>
      </c>
    </row>
    <row r="17" spans="1:7" ht="10.5" customHeight="1">
      <c r="A17" s="221"/>
      <c r="C17" s="220" t="s">
        <v>103</v>
      </c>
      <c r="E17" s="220" t="s">
        <v>157</v>
      </c>
      <c r="G17" s="220" t="s">
        <v>316</v>
      </c>
    </row>
    <row r="18" spans="1:7" ht="11.25" customHeight="1">
      <c r="B18">
        <v>1</v>
      </c>
      <c r="C18">
        <v>0</v>
      </c>
      <c r="E18">
        <v>0</v>
      </c>
      <c r="F18">
        <v>0</v>
      </c>
      <c r="G18">
        <v>0</v>
      </c>
    </row>
    <row r="19" spans="1:7" ht="11.25" customHeight="1">
      <c r="B19">
        <v>2</v>
      </c>
      <c r="C19">
        <v>0</v>
      </c>
      <c r="E19">
        <v>0</v>
      </c>
      <c r="F19">
        <v>0</v>
      </c>
      <c r="G19">
        <v>0</v>
      </c>
    </row>
    <row r="20" spans="1:7" ht="11.25" customHeight="1">
      <c r="B20">
        <v>3</v>
      </c>
      <c r="C20">
        <v>0</v>
      </c>
      <c r="E20">
        <v>0</v>
      </c>
      <c r="F20">
        <v>0</v>
      </c>
      <c r="G20">
        <v>0</v>
      </c>
    </row>
    <row r="21" spans="1:7" ht="11.25" customHeight="1">
      <c r="B21">
        <v>4</v>
      </c>
      <c r="E21">
        <v>0</v>
      </c>
      <c r="F21">
        <v>0</v>
      </c>
      <c r="G21">
        <v>0</v>
      </c>
    </row>
    <row r="22" spans="1:7" ht="11.25" customHeight="1">
      <c r="B22">
        <v>5</v>
      </c>
      <c r="E22">
        <v>0</v>
      </c>
      <c r="F22">
        <v>0</v>
      </c>
      <c r="G22">
        <v>0</v>
      </c>
    </row>
    <row r="23" spans="1:7" ht="11.25" customHeight="1">
      <c r="B23">
        <v>6</v>
      </c>
      <c r="E23">
        <v>0</v>
      </c>
      <c r="G23">
        <v>0</v>
      </c>
    </row>
    <row r="24" spans="1:7" ht="11.25" customHeight="1">
      <c r="B24">
        <v>7</v>
      </c>
      <c r="E24">
        <v>0</v>
      </c>
      <c r="G24">
        <v>0</v>
      </c>
    </row>
    <row r="25" spans="1:7" ht="11.25" customHeight="1">
      <c r="B25">
        <v>8</v>
      </c>
      <c r="E25">
        <v>0</v>
      </c>
      <c r="G25">
        <v>0</v>
      </c>
    </row>
    <row r="26" spans="1:7" ht="10.5" customHeight="1">
      <c r="A26" s="223" t="s">
        <v>321</v>
      </c>
      <c r="B26" s="223"/>
      <c r="C26" s="223">
        <f>SUM(C18:C25)</f>
        <v>0</v>
      </c>
      <c r="D26" s="238">
        <f>SUM(D18:D25)+C26</f>
        <v>0</v>
      </c>
      <c r="E26" s="223">
        <f>SUM(E18:E25)</f>
        <v>0</v>
      </c>
      <c r="F26" s="238">
        <f>SUM(F18:F25)+E26</f>
        <v>0</v>
      </c>
      <c r="G26" s="238">
        <f>SUM(G18:G25)</f>
        <v>0</v>
      </c>
    </row>
    <row r="27" spans="1:9" ht="10.5" customHeight="1">
      <c r="A27" s="222" t="s">
        <v>324</v>
      </c>
      <c r="B27" t="s">
        <v>317</v>
      </c>
      <c r="C27" t="s">
        <v>318</v>
      </c>
      <c r="E27" t="s">
        <v>319</v>
      </c>
      <c r="G27" t="s">
        <v>320</v>
      </c>
      <c r="H27" s="3" t="s">
        <v>328</v>
      </c>
    </row>
    <row r="28" spans="1:9" ht="10.5" customHeight="1">
      <c r="A28" s="221"/>
      <c r="C28" s="220" t="s">
        <v>103</v>
      </c>
      <c r="E28" s="220" t="s">
        <v>157</v>
      </c>
      <c r="G28" s="220" t="s">
        <v>316</v>
      </c>
      <c r="H28" s="235" t="s">
        <v>350</v>
      </c>
      <c r="I28" t="s">
        <v>349</v>
      </c>
    </row>
    <row r="29" spans="1:7" ht="11.25" customHeight="1">
      <c r="B29">
        <v>1</v>
      </c>
      <c r="C29">
        <v>0</v>
      </c>
      <c r="E29">
        <v>0</v>
      </c>
      <c r="G29">
        <v>0</v>
      </c>
    </row>
    <row r="30" spans="1:7" ht="11.25" customHeight="1">
      <c r="B30">
        <v>2</v>
      </c>
      <c r="C30">
        <v>0</v>
      </c>
      <c r="E30">
        <v>0</v>
      </c>
      <c r="G30">
        <v>0</v>
      </c>
    </row>
    <row r="31" spans="1:7" ht="11.25" customHeight="1">
      <c r="B31">
        <v>3</v>
      </c>
      <c r="C31">
        <v>0</v>
      </c>
      <c r="E31">
        <v>0</v>
      </c>
      <c r="G31">
        <v>0</v>
      </c>
    </row>
    <row r="32" spans="1:7" ht="11.25" customHeight="1">
      <c r="B32">
        <v>4</v>
      </c>
      <c r="C32">
        <v>0</v>
      </c>
      <c r="E32">
        <v>0</v>
      </c>
      <c r="G32">
        <v>0</v>
      </c>
    </row>
    <row r="33" spans="1:7" ht="11.25" customHeight="1">
      <c r="B33">
        <v>5</v>
      </c>
      <c r="C33">
        <v>0</v>
      </c>
      <c r="E33">
        <v>0</v>
      </c>
      <c r="G33">
        <v>0</v>
      </c>
    </row>
    <row r="34" spans="1:7" ht="11.25" customHeight="1">
      <c r="B34">
        <v>6</v>
      </c>
      <c r="C34">
        <v>0</v>
      </c>
      <c r="G34">
        <v>0</v>
      </c>
    </row>
    <row r="35" spans="1:7" ht="11.25" customHeight="1">
      <c r="B35">
        <v>7</v>
      </c>
      <c r="C35">
        <v>0</v>
      </c>
      <c r="G35">
        <v>0</v>
      </c>
    </row>
    <row r="36" spans="1:7" ht="11.25" customHeight="1">
      <c r="B36">
        <v>8</v>
      </c>
      <c r="C36">
        <v>0</v>
      </c>
      <c r="G36">
        <v>0</v>
      </c>
    </row>
    <row r="37" spans="1:7" ht="10.5" customHeight="1">
      <c r="A37" s="223" t="s">
        <v>321</v>
      </c>
      <c r="B37" s="223"/>
      <c r="C37" s="223">
        <f>SUM(C29:C36)</f>
        <v>0</v>
      </c>
      <c r="D37" s="238">
        <f>SUM(D29:D36)+C37</f>
        <v>0</v>
      </c>
      <c r="E37" s="223">
        <f>SUM(E29:E36)</f>
        <v>0</v>
      </c>
      <c r="F37" s="238">
        <f>SUM(F29:F36)+E37</f>
        <v>0</v>
      </c>
      <c r="G37" s="238">
        <f>SUM(G29:G36)</f>
        <v>0</v>
      </c>
    </row>
    <row r="38" spans="1:9" ht="10.5" customHeight="1">
      <c r="A38" s="222" t="s">
        <v>325</v>
      </c>
      <c r="B38" t="s">
        <v>317</v>
      </c>
      <c r="C38" t="s">
        <v>318</v>
      </c>
      <c r="E38" t="s">
        <v>319</v>
      </c>
      <c r="G38" t="s">
        <v>320</v>
      </c>
      <c r="H38" s="3" t="s">
        <v>328</v>
      </c>
    </row>
    <row r="39" spans="1:9" ht="10.5" customHeight="1">
      <c r="A39" s="221"/>
      <c r="C39" s="220" t="s">
        <v>103</v>
      </c>
      <c r="E39" s="220" t="s">
        <v>157</v>
      </c>
      <c r="G39" s="220" t="s">
        <v>316</v>
      </c>
      <c r="H39" s="235" t="s">
        <v>350</v>
      </c>
      <c r="I39" t="s">
        <v>349</v>
      </c>
    </row>
    <row r="40" spans="1:5" ht="11.25" customHeight="1">
      <c r="B40">
        <v>1</v>
      </c>
      <c r="C40">
        <v>0</v>
      </c>
      <c r="E40">
        <v>0</v>
      </c>
    </row>
    <row r="41" spans="1:5" ht="11.25" customHeight="1">
      <c r="B41">
        <v>2</v>
      </c>
      <c r="C41">
        <v>0</v>
      </c>
      <c r="E41">
        <v>0</v>
      </c>
    </row>
    <row r="42" spans="1:5" ht="11.25" customHeight="1">
      <c r="B42">
        <v>3</v>
      </c>
      <c r="C42">
        <v>0</v>
      </c>
      <c r="E42">
        <v>0</v>
      </c>
    </row>
    <row r="43" spans="1:5" ht="11.25" customHeight="1">
      <c r="B43">
        <v>4</v>
      </c>
      <c r="C43">
        <v>0</v>
      </c>
      <c r="E43">
        <v>0</v>
      </c>
    </row>
    <row r="44" spans="1:5" ht="11.25" customHeight="1">
      <c r="B44">
        <v>5</v>
      </c>
      <c r="C44">
        <v>0</v>
      </c>
      <c r="E44">
        <v>0</v>
      </c>
    </row>
    <row r="45" spans="1:3" ht="11.25" customHeight="1">
      <c r="B45">
        <v>6</v>
      </c>
      <c r="C45">
        <v>0</v>
      </c>
    </row>
    <row r="46" spans="1:2" ht="11.25" customHeight="1">
      <c r="B46">
        <v>7</v>
      </c>
    </row>
    <row r="47" spans="1:2" ht="11.25" customHeight="1">
      <c r="B47">
        <v>8</v>
      </c>
    </row>
    <row r="48" spans="1:7" ht="10.5" customHeight="1">
      <c r="A48" s="223" t="s">
        <v>321</v>
      </c>
      <c r="B48" s="223"/>
      <c r="C48" s="223">
        <f>SUM(C40:C47)</f>
        <v>0</v>
      </c>
      <c r="D48" s="238">
        <f>SUM(D40:D47)+C48</f>
        <v>0</v>
      </c>
      <c r="E48" s="223">
        <f>SUM(E40:E47)</f>
        <v>0</v>
      </c>
      <c r="F48" s="238">
        <f>SUM(F40:F47)+E48</f>
        <v>0</v>
      </c>
      <c r="G48" s="223">
        <f>SUM(G40:G47)</f>
        <v>0</v>
      </c>
    </row>
    <row r="49" spans="1:9" ht="10.5" customHeight="1">
      <c r="A49" s="222" t="s">
        <v>326</v>
      </c>
      <c r="B49" t="s">
        <v>317</v>
      </c>
      <c r="C49" t="s">
        <v>318</v>
      </c>
      <c r="E49" t="s">
        <v>319</v>
      </c>
      <c r="G49" t="s">
        <v>320</v>
      </c>
      <c r="H49" s="3" t="s">
        <v>328</v>
      </c>
    </row>
    <row r="50" spans="1:9" ht="10.5" customHeight="1">
      <c r="A50" s="221"/>
      <c r="C50" s="220" t="s">
        <v>103</v>
      </c>
      <c r="E50" s="220" t="s">
        <v>157</v>
      </c>
      <c r="G50" s="220" t="s">
        <v>316</v>
      </c>
      <c r="H50" s="235" t="s">
        <v>350</v>
      </c>
      <c r="I50" t="s">
        <v>349</v>
      </c>
    </row>
    <row r="51" spans="1:7" ht="11.25" customHeight="1">
      <c r="B51">
        <v>1</v>
      </c>
      <c r="C51">
        <v>0</v>
      </c>
      <c r="D51">
        <v>0</v>
      </c>
      <c r="E51">
        <v>0</v>
      </c>
      <c r="G51">
        <v>0</v>
      </c>
    </row>
    <row r="52" spans="1:5" ht="11.25" customHeight="1">
      <c r="B52">
        <v>2</v>
      </c>
      <c r="C52">
        <v>0</v>
      </c>
      <c r="D52">
        <v>0</v>
      </c>
      <c r="E52">
        <v>0</v>
      </c>
    </row>
    <row r="53" spans="1:5" ht="11.25" customHeight="1">
      <c r="B53">
        <v>3</v>
      </c>
      <c r="C53">
        <v>0</v>
      </c>
      <c r="E53">
        <v>0</v>
      </c>
    </row>
    <row r="54" spans="1:5" ht="11.25" customHeight="1">
      <c r="B54">
        <v>4</v>
      </c>
      <c r="C54">
        <v>0</v>
      </c>
      <c r="E54">
        <v>0</v>
      </c>
    </row>
    <row r="55" spans="1:3" ht="11.25" customHeight="1">
      <c r="B55">
        <v>5</v>
      </c>
      <c r="C55">
        <v>0</v>
      </c>
    </row>
    <row r="56" spans="1:3" ht="11.25" customHeight="1">
      <c r="B56">
        <v>6</v>
      </c>
      <c r="C56">
        <v>0</v>
      </c>
    </row>
    <row r="57" spans="1:3" ht="11.25" customHeight="1">
      <c r="B57">
        <v>7</v>
      </c>
      <c r="C57">
        <v>0</v>
      </c>
    </row>
    <row r="58" spans="1:3" ht="11.25" customHeight="1">
      <c r="B58">
        <v>8</v>
      </c>
      <c r="C58">
        <v>0</v>
      </c>
    </row>
    <row r="59" spans="1:7" ht="10.5" customHeight="1">
      <c r="A59" s="223" t="s">
        <v>321</v>
      </c>
      <c r="B59" s="223"/>
      <c r="C59" s="223">
        <f>SUM(C51:C58)</f>
        <v>0</v>
      </c>
      <c r="D59" s="238">
        <f>SUM(D51:D58)+C59</f>
        <v>0</v>
      </c>
      <c r="E59" s="223">
        <f>SUM(E51:E58)</f>
        <v>0</v>
      </c>
      <c r="F59" s="238">
        <f>SUM(F51:F58)+E59</f>
        <v>0</v>
      </c>
      <c r="G59" s="223">
        <f>SUM(G51:G58)</f>
        <v>0</v>
      </c>
    </row>
    <row r="60" spans="3:9" ht="10.5" customHeight="1">
      <c r="C60" s="220" t="s">
        <v>340</v>
      </c>
      <c r="D60" s="220" t="s">
        <v>341</v>
      </c>
      <c r="E60" s="220" t="s">
        <v>342</v>
      </c>
      <c r="F60" s="220" t="s">
        <v>343</v>
      </c>
      <c r="G60" s="220" t="s">
        <v>344</v>
      </c>
      <c r="H60" s="220" t="s">
        <v>345</v>
      </c>
    </row>
    <row r="61" spans="1:9" ht="10.5" customHeight="1">
      <c r="A61" s="223" t="s">
        <v>43</v>
      </c>
      <c r="B61" s="223"/>
      <c r="C61" s="223"/>
      <c r="D61" s="239">
        <f>D15+D26+D37+D48+D59</f>
        <v>0</v>
      </c>
      <c r="E61" s="238">
        <v>0</v>
      </c>
      <c r="F61" s="239">
        <f>F15+F26+F37+F48+F59</f>
        <v>0</v>
      </c>
      <c r="G61" s="223"/>
      <c r="H61" s="239">
        <f>G15+G26+G37+G48+G59</f>
        <v>0</v>
      </c>
    </row>
    <row r="62" spans="1:8" ht="10.5" customHeight="1">
      <c r="A62" t="s">
        <v>2</v>
      </c>
      <c r="C62" s="647">
        <f>G15+G26+G37</f>
        <v>0</v>
      </c>
      <c r="D62" s="648"/>
      <c r="E62" s="649">
        <f>C61+D61+E61+F61+G61+H61</f>
        <v>0</v>
      </c>
      <c r="F62" s="650"/>
      <c r="G62" s="645"/>
      <c r="H62" s="646"/>
    </row>
    <row r="63" spans="1:8" ht="10.5" customHeight="1">
      <c r="A63" t="s">
        <v>1160</v>
      </c>
      <c r="B63" s="614">
        <f>D61+F61+H61</f>
        <v>0</v>
      </c>
      <c r="C63" s="614"/>
      <c r="D63" s="30" t="s">
        <v>1096</v>
      </c>
      <c r="F63" s="30" t="s">
        <v>1097</v>
      </c>
      <c r="H63" s="236"/>
    </row>
    <row r="64" spans="3:9" ht="10.5" customHeight="1">
      <c r="C64" t="s">
        <v>346</v>
      </c>
      <c r="G64" s="97" t="s">
        <v>351</v>
      </c>
      <c r="H64" s="30"/>
      <c r="I64" s="237"/>
    </row>
    <row r="65" spans="3:6" ht="10.5" customHeight="1">
      <c r="C65" t="s">
        <v>329</v>
      </c>
      <c r="D65" t="s">
        <v>330</v>
      </c>
      <c r="E65" t="s">
        <v>331</v>
      </c>
      <c r="F65" t="s">
        <v>332</v>
      </c>
    </row>
    <row r="66" spans="1:9" ht="10.5" customHeight="1">
      <c r="A66" s="223" t="s">
        <v>2</v>
      </c>
      <c r="G66" t="s">
        <v>352</v>
      </c>
      <c r="H66" s="30"/>
      <c r="I66" s="237"/>
    </row>
    <row r="67" ht="10.5" customHeight="1"/>
    <row r="68" spans="1:7" ht="10.5" customHeight="1">
      <c r="A68" s="226" t="s">
        <v>348</v>
      </c>
      <c r="B68" s="227"/>
      <c r="C68" s="227"/>
      <c r="D68" s="227"/>
      <c r="E68" s="228"/>
      <c r="G68" s="30" t="s">
        <v>347</v>
      </c>
    </row>
    <row r="69" spans="1:9" ht="10.5" customHeight="1">
      <c r="A69" s="231"/>
      <c r="B69" s="59"/>
      <c r="C69" s="59"/>
      <c r="D69" s="59"/>
      <c r="E69" s="31"/>
      <c r="I69" s="237"/>
    </row>
    <row r="70" spans="1:5" ht="10.5" customHeight="1">
      <c r="A70" s="229"/>
      <c r="B70" s="98"/>
      <c r="C70" s="98"/>
      <c r="D70" s="98"/>
      <c r="E70" s="230"/>
    </row>
    <row r="71" ht="10.5" customHeight="1"/>
    <row r="72" ht="10.5" customHeight="1"/>
    <row r="73" ht="10.5" customHeight="1"/>
  </sheetData>
  <mergeCells count="4">
    <mergeCell ref="C62:D62"/>
    <mergeCell ref="E62:F62"/>
    <mergeCell ref="G62:H62"/>
    <mergeCell ref="B63:C63"/>
  </mergeCells>
  <printOptions gridLines="1"/>
  <pageMargins left="0.7874015748031497" right="0.7874015748031497" top="0.5905511811023623" bottom="0.5905511811023623" header="0.31496062992125984" footer="0.31496062992125984"/>
  <pageSetup horizontalDpi="300" verticalDpi="300" orientation="portrait" paperSize="9" scale="91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Feuil8"/>
  <dimension ref="A1:I70"/>
  <sheetViews>
    <sheetView workbookViewId="0" topLeftCell="B52">
      <selection activeCell="I69" sqref="I69"/>
    </sheetView>
  </sheetViews>
  <sheetFormatPr defaultColWidth="11.421875" defaultRowHeight="12.75"/>
  <cols>
    <col min="1" max="1" width="10.28125" style="0" customWidth="1"/>
    <col min="2" max="2" width="4.28125" style="0" customWidth="1"/>
    <col min="4" max="4" width="10.57421875" style="0" customWidth="1"/>
    <col min="6" max="6" width="10.8515625" style="0" customWidth="1"/>
    <col min="8" max="8" width="8.421875" style="0" customWidth="1"/>
  </cols>
  <sheetData>
    <row r="1" spans="1:9" ht="15.75">
      <c r="A1" t="s">
        <v>310</v>
      </c>
      <c r="F1" t="s">
        <v>314</v>
      </c>
      <c r="H1" s="233" t="s">
        <v>313</v>
      </c>
    </row>
    <row r="2" spans="1:9" ht="12.75">
      <c r="A2" t="s">
        <v>311</v>
      </c>
      <c r="H2" t="s">
        <v>1167</v>
      </c>
      <c r="I2" s="234"/>
    </row>
    <row r="3" spans="4:7" ht="12.75">
      <c r="D3" t="s">
        <v>315</v>
      </c>
      <c r="G3" t="s">
        <v>277</v>
      </c>
    </row>
    <row r="4" ht="12.75">
      <c r="C4" t="s">
        <v>312</v>
      </c>
    </row>
    <row r="5" spans="1:9" ht="12.75">
      <c r="A5" s="222" t="s">
        <v>327</v>
      </c>
      <c r="B5" t="s">
        <v>317</v>
      </c>
      <c r="C5" t="s">
        <v>318</v>
      </c>
      <c r="D5" s="225" t="s">
        <v>334</v>
      </c>
      <c r="E5" t="s">
        <v>319</v>
      </c>
      <c r="F5" s="225" t="s">
        <v>335</v>
      </c>
      <c r="G5" t="s">
        <v>320</v>
      </c>
      <c r="H5" s="3" t="s">
        <v>328</v>
      </c>
    </row>
    <row r="6" spans="1:9" ht="12.75">
      <c r="A6" s="221"/>
      <c r="C6" s="224" t="s">
        <v>103</v>
      </c>
      <c r="E6" s="224" t="s">
        <v>157</v>
      </c>
      <c r="G6" s="224" t="s">
        <v>316</v>
      </c>
      <c r="H6" s="235" t="s">
        <v>350</v>
      </c>
      <c r="I6" t="s">
        <v>349</v>
      </c>
    </row>
    <row r="7" spans="1:7" ht="11.25" customHeight="1">
      <c r="A7" s="225" t="s">
        <v>337</v>
      </c>
      <c r="B7">
        <v>1</v>
      </c>
      <c r="C7">
        <v>0</v>
      </c>
      <c r="E7">
        <v>0</v>
      </c>
      <c r="G7">
        <v>0</v>
      </c>
    </row>
    <row r="8" spans="1:7" ht="11.25" customHeight="1">
      <c r="A8" t="s">
        <v>338</v>
      </c>
      <c r="B8">
        <v>2</v>
      </c>
      <c r="C8">
        <v>0</v>
      </c>
      <c r="E8">
        <v>0</v>
      </c>
      <c r="G8">
        <v>0</v>
      </c>
    </row>
    <row r="9" spans="1:7" ht="11.25" customHeight="1">
      <c r="B9">
        <v>3</v>
      </c>
      <c r="C9">
        <v>0</v>
      </c>
      <c r="E9">
        <v>0</v>
      </c>
      <c r="G9">
        <v>0</v>
      </c>
    </row>
    <row r="10" spans="1:7" ht="11.25" customHeight="1">
      <c r="A10" s="225" t="s">
        <v>336</v>
      </c>
      <c r="B10">
        <v>4</v>
      </c>
      <c r="C10">
        <v>0</v>
      </c>
      <c r="E10">
        <v>0</v>
      </c>
      <c r="G10">
        <v>0</v>
      </c>
    </row>
    <row r="11" spans="1:7" ht="11.25" customHeight="1">
      <c r="A11" t="s">
        <v>339</v>
      </c>
      <c r="B11">
        <v>5</v>
      </c>
      <c r="E11">
        <v>0</v>
      </c>
      <c r="G11">
        <v>0</v>
      </c>
    </row>
    <row r="12" spans="1:7" ht="11.25" customHeight="1">
      <c r="B12">
        <v>6</v>
      </c>
      <c r="E12">
        <v>0</v>
      </c>
      <c r="G12">
        <v>0</v>
      </c>
    </row>
    <row r="13" spans="1:7" ht="11.25" customHeight="1">
      <c r="B13">
        <v>7</v>
      </c>
      <c r="E13">
        <v>0</v>
      </c>
      <c r="G13">
        <v>0</v>
      </c>
    </row>
    <row r="14" spans="1:7" ht="11.25" customHeight="1">
      <c r="B14">
        <v>8</v>
      </c>
      <c r="G14">
        <v>0</v>
      </c>
    </row>
    <row r="15" spans="1:9" ht="10.5" customHeight="1">
      <c r="A15" s="223" t="s">
        <v>322</v>
      </c>
      <c r="B15" s="223"/>
      <c r="C15" s="223">
        <f>SUM(C7:C14)</f>
        <v>0</v>
      </c>
      <c r="D15" s="238">
        <f>SUM(D7:D14)+C15</f>
        <v>0</v>
      </c>
      <c r="E15" s="223">
        <f>E7+E8+E9+E10+E11+E12+E13+E14</f>
        <v>0</v>
      </c>
      <c r="F15" s="238">
        <f>SUM(F7:F14)+E15</f>
        <v>0</v>
      </c>
      <c r="G15" s="238">
        <f>SUM(G7:G14)</f>
        <v>0</v>
      </c>
      <c r="H15" s="3" t="s">
        <v>328</v>
      </c>
    </row>
    <row r="16" spans="1:9" ht="10.5" customHeight="1">
      <c r="A16" s="222" t="s">
        <v>323</v>
      </c>
      <c r="B16" t="s">
        <v>317</v>
      </c>
      <c r="C16" t="s">
        <v>318</v>
      </c>
      <c r="E16" t="s">
        <v>319</v>
      </c>
      <c r="G16" t="s">
        <v>320</v>
      </c>
      <c r="H16" s="235" t="s">
        <v>350</v>
      </c>
      <c r="I16" t="s">
        <v>349</v>
      </c>
    </row>
    <row r="17" spans="1:7" ht="10.5" customHeight="1">
      <c r="A17" s="221"/>
      <c r="C17" s="220" t="s">
        <v>103</v>
      </c>
      <c r="E17" s="220" t="s">
        <v>157</v>
      </c>
      <c r="G17" s="220" t="s">
        <v>316</v>
      </c>
    </row>
    <row r="18" spans="1:7" ht="11.25" customHeight="1">
      <c r="B18">
        <v>1</v>
      </c>
      <c r="C18">
        <v>0</v>
      </c>
      <c r="E18">
        <v>0</v>
      </c>
      <c r="G18">
        <v>0</v>
      </c>
    </row>
    <row r="19" spans="1:7" ht="11.25" customHeight="1">
      <c r="B19">
        <v>2</v>
      </c>
      <c r="C19">
        <v>0</v>
      </c>
      <c r="E19">
        <v>0</v>
      </c>
      <c r="G19">
        <v>0</v>
      </c>
    </row>
    <row r="20" spans="1:7" ht="11.25" customHeight="1">
      <c r="B20">
        <v>3</v>
      </c>
      <c r="C20">
        <v>0</v>
      </c>
      <c r="E20">
        <v>0</v>
      </c>
      <c r="G20">
        <v>0</v>
      </c>
    </row>
    <row r="21" spans="1:5" ht="11.25" customHeight="1">
      <c r="B21">
        <v>4</v>
      </c>
      <c r="C21">
        <v>0</v>
      </c>
      <c r="E21">
        <v>0</v>
      </c>
    </row>
    <row r="22" spans="1:5" ht="11.25" customHeight="1">
      <c r="B22">
        <v>5</v>
      </c>
      <c r="C22">
        <v>0</v>
      </c>
      <c r="E22">
        <v>0</v>
      </c>
    </row>
    <row r="23" spans="1:5" ht="11.25" customHeight="1">
      <c r="B23">
        <v>6</v>
      </c>
      <c r="E23">
        <v>0</v>
      </c>
    </row>
    <row r="24" spans="1:5" ht="11.25" customHeight="1">
      <c r="B24">
        <v>7</v>
      </c>
      <c r="E24">
        <v>0</v>
      </c>
    </row>
    <row r="25" spans="1:2" ht="11.25" customHeight="1">
      <c r="B25">
        <v>8</v>
      </c>
    </row>
    <row r="26" spans="1:7" ht="10.5" customHeight="1">
      <c r="A26" s="223" t="s">
        <v>321</v>
      </c>
      <c r="B26" s="223"/>
      <c r="C26" s="223">
        <f>SUM(C18:C25)</f>
        <v>0</v>
      </c>
      <c r="D26" s="238">
        <f>SUM(D18:D25)+C26</f>
        <v>0</v>
      </c>
      <c r="E26" s="223">
        <f>E18+E19+E20+E21+E22+E23+E24+E25</f>
        <v>0</v>
      </c>
      <c r="F26" s="238">
        <f>SUM(F18:F25)+E26</f>
        <v>0</v>
      </c>
      <c r="G26" s="238">
        <f>SUM(G18:G25)</f>
        <v>0</v>
      </c>
    </row>
    <row r="27" spans="1:9" ht="10.5" customHeight="1">
      <c r="A27" s="222" t="s">
        <v>324</v>
      </c>
      <c r="B27" t="s">
        <v>317</v>
      </c>
      <c r="C27" t="s">
        <v>318</v>
      </c>
      <c r="E27" t="s">
        <v>319</v>
      </c>
      <c r="G27" t="s">
        <v>320</v>
      </c>
      <c r="H27" s="3" t="s">
        <v>328</v>
      </c>
    </row>
    <row r="28" spans="1:9" ht="10.5" customHeight="1">
      <c r="A28" s="221"/>
      <c r="C28" s="220" t="s">
        <v>103</v>
      </c>
      <c r="E28" s="220" t="s">
        <v>157</v>
      </c>
      <c r="G28" s="220" t="s">
        <v>316</v>
      </c>
      <c r="H28" s="235" t="s">
        <v>350</v>
      </c>
      <c r="I28" t="s">
        <v>349</v>
      </c>
    </row>
    <row r="29" spans="1:5" ht="11.25" customHeight="1">
      <c r="B29">
        <v>1</v>
      </c>
      <c r="C29">
        <v>0</v>
      </c>
      <c r="E29">
        <v>0</v>
      </c>
    </row>
    <row r="30" spans="1:5" ht="11.25" customHeight="1">
      <c r="B30">
        <v>2</v>
      </c>
      <c r="C30">
        <v>0</v>
      </c>
      <c r="E30">
        <v>0</v>
      </c>
    </row>
    <row r="31" spans="1:5" ht="11.25" customHeight="1">
      <c r="B31">
        <v>3</v>
      </c>
      <c r="C31">
        <v>0</v>
      </c>
      <c r="E31">
        <v>0</v>
      </c>
    </row>
    <row r="32" spans="1:5" ht="11.25" customHeight="1">
      <c r="B32">
        <v>4</v>
      </c>
      <c r="C32">
        <v>0</v>
      </c>
      <c r="E32">
        <v>0</v>
      </c>
    </row>
    <row r="33" spans="1:5" ht="11.25" customHeight="1">
      <c r="B33">
        <v>5</v>
      </c>
      <c r="C33">
        <v>0</v>
      </c>
      <c r="E33">
        <v>0</v>
      </c>
    </row>
    <row r="34" spans="1:5" ht="11.25" customHeight="1">
      <c r="B34">
        <v>6</v>
      </c>
      <c r="C34">
        <v>0</v>
      </c>
      <c r="E34">
        <v>0</v>
      </c>
    </row>
    <row r="35" spans="1:5" ht="11.25" customHeight="1">
      <c r="B35">
        <v>7</v>
      </c>
      <c r="C35">
        <v>0</v>
      </c>
      <c r="E35">
        <v>0</v>
      </c>
    </row>
    <row r="36" spans="1:5" ht="11.25" customHeight="1">
      <c r="B36">
        <v>8</v>
      </c>
      <c r="C36">
        <v>0</v>
      </c>
      <c r="E36">
        <v>0</v>
      </c>
    </row>
    <row r="37" spans="1:7" ht="10.5" customHeight="1">
      <c r="A37" s="223" t="s">
        <v>321</v>
      </c>
      <c r="B37" s="223"/>
      <c r="C37" s="223">
        <f>SUM(C29:C36)</f>
        <v>0</v>
      </c>
      <c r="D37" s="238">
        <f>SUM(D29:D36)+C37</f>
        <v>0</v>
      </c>
      <c r="E37" s="223">
        <f>SUM(E29:E36)</f>
        <v>0</v>
      </c>
      <c r="F37" s="238">
        <f>SUM(F29:F36)+E37</f>
        <v>0</v>
      </c>
      <c r="G37" s="223">
        <f>SUM(G29:G36)</f>
        <v>0</v>
      </c>
    </row>
    <row r="38" spans="1:9" ht="10.5" customHeight="1">
      <c r="A38" s="222" t="s">
        <v>325</v>
      </c>
      <c r="B38" t="s">
        <v>317</v>
      </c>
      <c r="C38" t="s">
        <v>318</v>
      </c>
      <c r="E38" t="s">
        <v>319</v>
      </c>
      <c r="G38" t="s">
        <v>320</v>
      </c>
      <c r="H38" s="3" t="s">
        <v>328</v>
      </c>
    </row>
    <row r="39" spans="1:9" ht="10.5" customHeight="1">
      <c r="A39" s="221"/>
      <c r="C39" s="220" t="s">
        <v>103</v>
      </c>
      <c r="E39" s="220" t="s">
        <v>157</v>
      </c>
      <c r="G39" s="220" t="s">
        <v>316</v>
      </c>
      <c r="H39" s="235" t="s">
        <v>350</v>
      </c>
      <c r="I39" t="s">
        <v>349</v>
      </c>
    </row>
    <row r="40" spans="1:5" ht="11.25" customHeight="1">
      <c r="B40">
        <v>1</v>
      </c>
      <c r="C40">
        <v>0</v>
      </c>
      <c r="E40">
        <v>0</v>
      </c>
    </row>
    <row r="41" spans="1:5" ht="11.25" customHeight="1">
      <c r="B41">
        <v>2</v>
      </c>
      <c r="C41">
        <v>0</v>
      </c>
      <c r="E41">
        <v>0</v>
      </c>
    </row>
    <row r="42" spans="1:5" ht="11.25" customHeight="1">
      <c r="B42">
        <v>3</v>
      </c>
      <c r="C42">
        <v>0</v>
      </c>
      <c r="E42">
        <v>0</v>
      </c>
    </row>
    <row r="43" spans="1:5" ht="11.25" customHeight="1">
      <c r="B43">
        <v>4</v>
      </c>
      <c r="C43">
        <v>0</v>
      </c>
      <c r="E43">
        <v>0</v>
      </c>
    </row>
    <row r="44" spans="1:5" ht="11.25" customHeight="1">
      <c r="B44">
        <v>5</v>
      </c>
      <c r="C44">
        <v>0</v>
      </c>
      <c r="E44">
        <v>0</v>
      </c>
    </row>
    <row r="45" spans="1:5" ht="11.25" customHeight="1">
      <c r="B45">
        <v>6</v>
      </c>
      <c r="E45">
        <v>0</v>
      </c>
    </row>
    <row r="46" spans="1:5" ht="11.25" customHeight="1">
      <c r="B46">
        <v>7</v>
      </c>
      <c r="E46">
        <v>0</v>
      </c>
    </row>
    <row r="47" spans="1:5" ht="11.25" customHeight="1">
      <c r="B47">
        <v>8</v>
      </c>
      <c r="E47">
        <v>0</v>
      </c>
    </row>
    <row r="48" spans="1:7" ht="10.5" customHeight="1">
      <c r="A48" s="223" t="s">
        <v>321</v>
      </c>
      <c r="B48" s="223"/>
      <c r="C48" s="223">
        <f>SUM(C40:C47)</f>
        <v>0</v>
      </c>
      <c r="D48" s="238">
        <f>SUM(D40:D47)+C48</f>
        <v>0</v>
      </c>
      <c r="E48" s="223">
        <f>SUM(E40:E47)</f>
        <v>0</v>
      </c>
      <c r="F48" s="238">
        <f>SUM(F40:F47)+E48</f>
        <v>0</v>
      </c>
      <c r="G48" s="223">
        <f>SUM(G40:G47)</f>
        <v>0</v>
      </c>
    </row>
    <row r="49" spans="1:9" ht="10.5" customHeight="1">
      <c r="A49" s="222" t="s">
        <v>326</v>
      </c>
      <c r="B49" t="s">
        <v>317</v>
      </c>
      <c r="C49" t="s">
        <v>318</v>
      </c>
      <c r="E49" t="s">
        <v>319</v>
      </c>
      <c r="G49" t="s">
        <v>320</v>
      </c>
      <c r="H49" s="3" t="s">
        <v>328</v>
      </c>
    </row>
    <row r="50" spans="1:9" ht="10.5" customHeight="1">
      <c r="A50" s="221"/>
      <c r="C50" s="220" t="s">
        <v>103</v>
      </c>
      <c r="E50" s="220" t="s">
        <v>157</v>
      </c>
      <c r="G50" s="220" t="s">
        <v>316</v>
      </c>
      <c r="H50" s="235" t="s">
        <v>350</v>
      </c>
      <c r="I50" t="s">
        <v>349</v>
      </c>
    </row>
    <row r="51" spans="1:7" ht="11.25" customHeight="1">
      <c r="B51">
        <v>1</v>
      </c>
      <c r="C51">
        <v>0</v>
      </c>
      <c r="E51">
        <v>0</v>
      </c>
      <c r="G51">
        <v>0</v>
      </c>
    </row>
    <row r="52" spans="1:7" ht="11.25" customHeight="1">
      <c r="B52">
        <v>2</v>
      </c>
      <c r="C52">
        <v>0</v>
      </c>
      <c r="E52">
        <v>0</v>
      </c>
      <c r="G52">
        <v>0</v>
      </c>
    </row>
    <row r="53" spans="1:7" ht="11.25" customHeight="1">
      <c r="B53">
        <v>3</v>
      </c>
      <c r="C53">
        <v>0</v>
      </c>
      <c r="E53">
        <v>0</v>
      </c>
      <c r="G53">
        <v>0</v>
      </c>
    </row>
    <row r="54" spans="1:7" ht="11.25" customHeight="1">
      <c r="B54">
        <v>4</v>
      </c>
      <c r="C54">
        <v>0</v>
      </c>
      <c r="E54">
        <v>0</v>
      </c>
      <c r="G54">
        <v>0</v>
      </c>
    </row>
    <row r="55" spans="1:5" ht="11.25" customHeight="1">
      <c r="B55">
        <v>5</v>
      </c>
      <c r="C55">
        <v>0</v>
      </c>
      <c r="E55">
        <v>0</v>
      </c>
    </row>
    <row r="56" spans="1:5" ht="11.25" customHeight="1">
      <c r="B56">
        <v>6</v>
      </c>
      <c r="C56">
        <v>0</v>
      </c>
      <c r="E56">
        <v>0</v>
      </c>
    </row>
    <row r="57" spans="1:5" ht="11.25" customHeight="1">
      <c r="B57">
        <v>7</v>
      </c>
      <c r="C57">
        <v>0</v>
      </c>
      <c r="E57">
        <v>0</v>
      </c>
    </row>
    <row r="58" spans="1:5" ht="11.25" customHeight="1">
      <c r="B58">
        <v>8</v>
      </c>
      <c r="C58">
        <v>0</v>
      </c>
      <c r="E58">
        <v>0</v>
      </c>
    </row>
    <row r="59" spans="1:7" ht="10.5" customHeight="1">
      <c r="A59" s="223" t="s">
        <v>321</v>
      </c>
      <c r="B59" s="223"/>
      <c r="C59" s="223">
        <f>SUM(C51:C58)</f>
        <v>0</v>
      </c>
      <c r="D59" s="238">
        <f>SUM(D51:D58)+C59</f>
        <v>0</v>
      </c>
      <c r="E59" s="223">
        <f>E51+E52+E53+E54+E55+E56+E57+E58</f>
        <v>0</v>
      </c>
      <c r="F59" s="238">
        <f>SUM(F51:F58)+E59</f>
        <v>0</v>
      </c>
      <c r="G59" s="238">
        <f>SUM(G51:G58)</f>
        <v>0</v>
      </c>
    </row>
    <row r="60" spans="3:9" ht="10.5" customHeight="1">
      <c r="C60" s="220" t="s">
        <v>340</v>
      </c>
      <c r="D60" s="220" t="s">
        <v>341</v>
      </c>
      <c r="E60" s="220" t="s">
        <v>342</v>
      </c>
      <c r="F60" s="220" t="s">
        <v>343</v>
      </c>
      <c r="G60" s="220" t="s">
        <v>344</v>
      </c>
      <c r="H60" s="220" t="s">
        <v>345</v>
      </c>
    </row>
    <row r="61" spans="1:9" ht="10.5" customHeight="1">
      <c r="A61" s="223" t="s">
        <v>43</v>
      </c>
      <c r="B61" s="223"/>
      <c r="C61" s="238">
        <f>D15+D26+D37+D48+D59</f>
        <v>0</v>
      </c>
      <c r="D61" s="238">
        <f>'MDT Tri ROULEAUX'!D61</f>
        <v>0</v>
      </c>
      <c r="E61" s="239">
        <f>F15+F26+F37+F48+F59</f>
        <v>0</v>
      </c>
      <c r="F61" s="240">
        <f>'MDT Tri ROULEAUX'!F61</f>
        <v>0</v>
      </c>
      <c r="G61" s="238">
        <f>G15+G26+G37+G48+G59</f>
        <v>0</v>
      </c>
      <c r="H61" s="239">
        <f>'MDT Tri ROULEAUX'!H61</f>
        <v>0</v>
      </c>
    </row>
    <row r="62" spans="1:8" ht="10.5" customHeight="1">
      <c r="A62" t="s">
        <v>2</v>
      </c>
      <c r="C62" s="645">
        <f>C61+D61</f>
        <v>0</v>
      </c>
      <c r="D62" s="646"/>
      <c r="E62" s="645">
        <f>E61+F61</f>
        <v>0</v>
      </c>
      <c r="F62" s="646"/>
      <c r="G62" s="645">
        <f>G61+H61</f>
        <v>0</v>
      </c>
      <c r="H62" s="646"/>
    </row>
    <row r="63" spans="1:9" ht="10.5" customHeight="1">
      <c r="A63" s="582" t="s">
        <v>1159</v>
      </c>
      <c r="B63" s="651">
        <f>C61+E61+G61</f>
        <v>0</v>
      </c>
      <c r="C63" s="613"/>
      <c r="G63" s="97" t="s">
        <v>351</v>
      </c>
      <c r="H63" s="30"/>
      <c r="I63" s="101"/>
    </row>
    <row r="64" spans="3:7" ht="10.5" customHeight="1">
      <c r="C64" t="s">
        <v>346</v>
      </c>
      <c r="G64" t="s">
        <v>1151</v>
      </c>
    </row>
    <row r="65" spans="3:9" ht="10.5" customHeight="1">
      <c r="C65" t="s">
        <v>329</v>
      </c>
      <c r="D65" t="s">
        <v>330</v>
      </c>
      <c r="E65" t="s">
        <v>331</v>
      </c>
      <c r="F65" t="s">
        <v>332</v>
      </c>
      <c r="G65" s="30" t="s">
        <v>1152</v>
      </c>
      <c r="I65" s="30"/>
    </row>
    <row r="66" spans="1:9" ht="10.5" customHeight="1">
      <c r="A66" s="223" t="s">
        <v>2</v>
      </c>
      <c r="G66" t="s">
        <v>352</v>
      </c>
      <c r="H66" s="30"/>
      <c r="I66" s="237"/>
    </row>
    <row r="67" ht="10.5" customHeight="1"/>
    <row r="68" spans="1:7" ht="10.5" customHeight="1">
      <c r="A68" s="226" t="s">
        <v>348</v>
      </c>
      <c r="B68" s="227"/>
      <c r="C68" s="227"/>
      <c r="D68" s="227"/>
      <c r="E68" s="228"/>
      <c r="G68" s="30" t="s">
        <v>347</v>
      </c>
    </row>
    <row r="69" spans="1:9" ht="10.5" customHeight="1">
      <c r="A69" s="231"/>
      <c r="B69" s="59"/>
      <c r="C69" s="59"/>
      <c r="D69" s="59"/>
      <c r="E69" s="31"/>
      <c r="I69" s="237"/>
    </row>
    <row r="70" spans="1:5" ht="10.5" customHeight="1">
      <c r="A70" s="229"/>
      <c r="B70" s="98"/>
      <c r="C70" s="98"/>
      <c r="D70" s="98"/>
      <c r="E70" s="230"/>
    </row>
    <row r="71" ht="10.5" customHeight="1"/>
    <row r="72" ht="10.5" customHeight="1"/>
    <row r="73" ht="10.5" customHeight="1"/>
  </sheetData>
  <mergeCells count="4">
    <mergeCell ref="C62:D62"/>
    <mergeCell ref="E62:F62"/>
    <mergeCell ref="G62:H62"/>
    <mergeCell ref="B63:C63"/>
  </mergeCells>
  <printOptions gridLines="1"/>
  <pageMargins left="0.7874015748031497" right="0.7874015748031497" top="0.5905511811023623" bottom="0.5905511811023623" header="0.31496062992125984" footer="0.31496062992125984"/>
  <pageSetup horizontalDpi="300" verticalDpi="300" orientation="portrait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7"/>
  <dimension ref="A1:Q168"/>
  <sheetViews>
    <sheetView showZeros="0" workbookViewId="0" topLeftCell="B131">
      <selection activeCell="B151" sqref="B151"/>
    </sheetView>
  </sheetViews>
  <sheetFormatPr defaultColWidth="11.421875" defaultRowHeight="12.75" outlineLevelRow="2"/>
  <cols>
    <col min="1" max="1" width="9.00390625" style="2" customWidth="1"/>
    <col min="2" max="2" width="5.8515625" style="2" customWidth="1"/>
    <col min="3" max="3" width="12.00390625" style="2" customWidth="1"/>
    <col min="4" max="4" width="11.28125" style="2" customWidth="1"/>
    <col min="5" max="5" width="11.8515625" style="2" customWidth="1"/>
    <col min="6" max="6" width="10.8515625" style="2" customWidth="1"/>
    <col min="7" max="7" width="11.8515625" style="2" customWidth="1"/>
    <col min="8" max="8" width="10.8515625" style="2" customWidth="1"/>
    <col min="9" max="9" width="11.28125" style="2" customWidth="1"/>
    <col min="10" max="10" width="11.421875" style="41" customWidth="1"/>
    <col min="11" max="11" width="9.57421875" style="2" customWidth="1"/>
    <col min="12" max="12" width="12.8515625" style="2" customWidth="1"/>
    <col min="13" max="16384" width="11.421875" style="2" customWidth="1"/>
  </cols>
  <sheetData>
    <row r="1" spans="1:17" s="3" customFormat="1" ht="43.5" customHeight="1">
      <c r="A1" s="3" t="s">
        <v>111</v>
      </c>
      <c r="B1" s="38" t="s">
        <v>112</v>
      </c>
      <c r="C1" s="38" t="s">
        <v>113</v>
      </c>
      <c r="D1" s="38" t="s">
        <v>114</v>
      </c>
      <c r="E1" s="39" t="s">
        <v>115</v>
      </c>
      <c r="F1" s="38" t="s">
        <v>116</v>
      </c>
      <c r="G1" s="38" t="s">
        <v>117</v>
      </c>
      <c r="H1" s="38" t="s">
        <v>118</v>
      </c>
      <c r="I1" s="3" t="s">
        <v>119</v>
      </c>
      <c r="J1" s="510" t="s">
        <v>120</v>
      </c>
      <c r="K1" s="3" t="s">
        <v>121</v>
      </c>
      <c r="L1" s="38" t="s">
        <v>122</v>
      </c>
      <c r="Q1" s="38"/>
    </row>
    <row r="2" spans="1:12" ht="11.25" outlineLevel="2">
      <c r="A2" s="40">
        <v>35735</v>
      </c>
      <c r="B2" s="2">
        <v>1</v>
      </c>
      <c r="C2" s="41">
        <v>23365</v>
      </c>
      <c r="D2" s="41"/>
      <c r="E2" s="41"/>
      <c r="F2" s="41"/>
      <c r="G2" s="41"/>
      <c r="H2" s="41">
        <v>0</v>
      </c>
      <c r="I2" s="41"/>
      <c r="J2" s="42">
        <v>66834</v>
      </c>
      <c r="K2" s="8"/>
      <c r="L2" s="41" t="s">
        <v>123</v>
      </c>
    </row>
    <row r="3" spans="1:12" ht="11.25" outlineLevel="2">
      <c r="A3" s="40">
        <v>35735</v>
      </c>
      <c r="B3" s="2">
        <v>2</v>
      </c>
      <c r="C3" s="41">
        <v>22795</v>
      </c>
      <c r="D3" s="41"/>
      <c r="E3" s="41"/>
      <c r="F3" s="41"/>
      <c r="G3" s="41"/>
      <c r="H3" s="41"/>
      <c r="I3" s="41"/>
      <c r="L3" s="41" t="s">
        <v>124</v>
      </c>
    </row>
    <row r="4" spans="1:12" ht="11.25" outlineLevel="1">
      <c r="A4" s="43" t="s">
        <v>125</v>
      </c>
      <c r="B4" s="2"/>
      <c r="C4" s="44">
        <f>SUBTOTAL(9,C2:C3)</f>
        <v>46160</v>
      </c>
      <c r="D4" s="41"/>
      <c r="E4" s="41"/>
      <c r="F4" s="41"/>
      <c r="G4" s="41"/>
      <c r="H4" s="41"/>
      <c r="I4" s="41"/>
      <c r="L4" s="41" t="s">
        <v>126</v>
      </c>
    </row>
    <row r="5" spans="1:12" ht="11.25" outlineLevel="2">
      <c r="A5" s="40">
        <v>35765</v>
      </c>
      <c r="B5" s="2">
        <v>3</v>
      </c>
      <c r="C5" s="41">
        <v>23073</v>
      </c>
      <c r="D5" s="41"/>
      <c r="E5" s="41"/>
      <c r="F5" s="41"/>
      <c r="G5" s="41"/>
      <c r="H5" s="41"/>
      <c r="I5" s="41"/>
      <c r="L5" s="41" t="s">
        <v>127</v>
      </c>
    </row>
    <row r="6" spans="1:12" ht="11.25" outlineLevel="2">
      <c r="A6" s="40">
        <v>35765</v>
      </c>
      <c r="B6" s="2">
        <v>4</v>
      </c>
      <c r="C6" s="41">
        <v>22734</v>
      </c>
      <c r="D6" s="41"/>
      <c r="E6" s="41"/>
      <c r="F6" s="41"/>
      <c r="G6" s="41"/>
      <c r="H6" s="41"/>
      <c r="I6" s="41"/>
      <c r="L6" s="41" t="s">
        <v>128</v>
      </c>
    </row>
    <row r="7" spans="1:12" ht="11.25" outlineLevel="2">
      <c r="A7" s="40">
        <v>35765</v>
      </c>
      <c r="B7" s="2">
        <v>5</v>
      </c>
      <c r="C7" s="41">
        <v>23203</v>
      </c>
      <c r="D7" s="41"/>
      <c r="E7" s="41"/>
      <c r="F7" s="41"/>
      <c r="G7" s="41"/>
      <c r="H7" s="41"/>
      <c r="I7" s="41"/>
      <c r="L7" s="41" t="s">
        <v>129</v>
      </c>
    </row>
    <row r="8" spans="1:12" ht="11.25" outlineLevel="2">
      <c r="A8" s="40">
        <v>35765</v>
      </c>
      <c r="B8" s="2">
        <v>6</v>
      </c>
      <c r="C8" s="41">
        <v>22838</v>
      </c>
      <c r="D8" s="41"/>
      <c r="E8" s="41"/>
      <c r="F8" s="41"/>
      <c r="G8" s="41"/>
      <c r="H8" s="41"/>
      <c r="I8" s="41"/>
      <c r="J8" s="41" t="s">
        <v>130</v>
      </c>
      <c r="K8" s="2"/>
      <c r="L8" s="41" t="s">
        <v>131</v>
      </c>
    </row>
    <row r="9" spans="1:12" ht="11.25" outlineLevel="2">
      <c r="A9" s="40">
        <v>35765</v>
      </c>
      <c r="B9" s="2">
        <v>7</v>
      </c>
      <c r="C9" s="41">
        <v>23564</v>
      </c>
      <c r="D9" s="41"/>
      <c r="E9" s="41"/>
      <c r="F9" s="41"/>
      <c r="G9" s="41"/>
      <c r="H9" s="41"/>
      <c r="I9" s="41"/>
      <c r="L9" s="41" t="s">
        <v>132</v>
      </c>
    </row>
    <row r="10" spans="1:12" ht="11.25" outlineLevel="2">
      <c r="A10" s="40">
        <v>35765</v>
      </c>
      <c r="B10" s="2">
        <v>8</v>
      </c>
      <c r="C10" s="41">
        <v>23299</v>
      </c>
      <c r="D10" s="41"/>
      <c r="E10" s="41"/>
      <c r="F10" s="41"/>
      <c r="G10" s="41"/>
      <c r="H10" s="41"/>
      <c r="I10" s="41"/>
      <c r="J10" s="45"/>
      <c r="K10" s="5"/>
      <c r="L10" s="41" t="s">
        <v>129</v>
      </c>
    </row>
    <row r="11" spans="1:12" ht="11.25" outlineLevel="1">
      <c r="A11" s="46" t="s">
        <v>133</v>
      </c>
      <c r="B11" s="2"/>
      <c r="C11" s="44">
        <f>SUBTOTAL(9,C5:C10)</f>
        <v>138711</v>
      </c>
      <c r="D11" s="41">
        <f>C11+C4</f>
        <v>184871</v>
      </c>
      <c r="E11" s="41">
        <v>129208</v>
      </c>
      <c r="F11" s="41">
        <v>10348</v>
      </c>
      <c r="G11" s="41">
        <f>E11-F11</f>
        <v>118860</v>
      </c>
      <c r="H11" s="41">
        <f>H2+G11</f>
        <v>118860</v>
      </c>
      <c r="I11" s="41">
        <f>D11-E11</f>
        <v>55663</v>
      </c>
      <c r="J11" s="47">
        <v>38368</v>
      </c>
      <c r="K11" s="45">
        <f>4407+4896</f>
        <v>9303</v>
      </c>
      <c r="L11" s="41">
        <v>66834</v>
      </c>
    </row>
    <row r="12" spans="1:12" ht="11.25" outlineLevel="2">
      <c r="A12" s="40">
        <v>35796</v>
      </c>
      <c r="B12" s="2">
        <v>9</v>
      </c>
      <c r="C12" s="41">
        <v>22676</v>
      </c>
      <c r="D12" s="41"/>
      <c r="E12" s="41"/>
      <c r="F12" s="41"/>
      <c r="G12" s="41"/>
      <c r="H12" s="41"/>
      <c r="I12" s="41"/>
      <c r="J12" s="45"/>
      <c r="K12" s="5"/>
      <c r="L12" s="41" t="s">
        <v>134</v>
      </c>
    </row>
    <row r="13" spans="1:12" ht="11.25" outlineLevel="2">
      <c r="A13" s="40">
        <v>35796</v>
      </c>
      <c r="B13" s="2">
        <v>10</v>
      </c>
      <c r="C13" s="41">
        <v>22730</v>
      </c>
      <c r="D13" s="41"/>
      <c r="E13" s="41"/>
      <c r="F13" s="41"/>
      <c r="G13" s="41"/>
      <c r="H13" s="41"/>
      <c r="I13" s="41"/>
      <c r="J13" s="45"/>
      <c r="K13" s="5"/>
      <c r="L13" s="41"/>
    </row>
    <row r="14" spans="1:12" ht="11.25" outlineLevel="2">
      <c r="A14" s="40">
        <v>35796</v>
      </c>
      <c r="B14" s="2">
        <v>11</v>
      </c>
      <c r="C14" s="41">
        <v>22723</v>
      </c>
      <c r="D14" s="41"/>
      <c r="E14" s="41"/>
      <c r="F14" s="41"/>
      <c r="G14" s="41"/>
      <c r="H14" s="41"/>
      <c r="I14" s="41"/>
      <c r="J14" s="45"/>
      <c r="K14" s="5"/>
      <c r="L14" s="41"/>
    </row>
    <row r="15" spans="1:11" ht="11.25" outlineLevel="2">
      <c r="A15" s="40">
        <v>35796</v>
      </c>
      <c r="B15" s="2">
        <v>12</v>
      </c>
      <c r="C15" s="41">
        <v>22461</v>
      </c>
      <c r="D15" s="41"/>
      <c r="E15" s="41"/>
      <c r="F15" s="41"/>
      <c r="G15" s="41"/>
      <c r="H15" s="41"/>
      <c r="I15" s="41"/>
      <c r="J15" s="45"/>
      <c r="K15" s="45"/>
    </row>
    <row r="16" spans="1:12" ht="11.25" outlineLevel="2">
      <c r="A16" s="40">
        <v>35796</v>
      </c>
      <c r="B16" s="2">
        <v>13</v>
      </c>
      <c r="C16" s="41">
        <v>22935</v>
      </c>
      <c r="D16" s="41"/>
      <c r="E16" s="41"/>
      <c r="F16" s="41"/>
      <c r="G16" s="41"/>
      <c r="H16" s="41"/>
      <c r="I16" s="41"/>
      <c r="J16" s="45"/>
      <c r="K16" s="45"/>
      <c r="L16" s="48"/>
    </row>
    <row r="17" spans="1:11" ht="11.25" outlineLevel="2">
      <c r="A17" s="40">
        <v>35796</v>
      </c>
      <c r="B17" s="2">
        <v>14</v>
      </c>
      <c r="C17" s="41">
        <v>22649</v>
      </c>
      <c r="D17" s="41"/>
      <c r="E17" s="41"/>
      <c r="F17" s="41"/>
      <c r="G17" s="41"/>
      <c r="H17" s="41"/>
      <c r="I17" s="41"/>
      <c r="J17" s="45"/>
      <c r="K17" s="45"/>
    </row>
    <row r="18" spans="1:11" ht="11.25" outlineLevel="2">
      <c r="A18" s="40">
        <v>35796</v>
      </c>
      <c r="B18" s="2">
        <v>15</v>
      </c>
      <c r="C18" s="41">
        <v>22689</v>
      </c>
      <c r="D18" s="41"/>
      <c r="E18" s="41"/>
      <c r="F18" s="41"/>
      <c r="G18" s="41"/>
      <c r="H18" s="41"/>
      <c r="I18" s="41"/>
      <c r="J18" s="45"/>
      <c r="K18" s="45"/>
    </row>
    <row r="19" spans="1:11" ht="11.25" outlineLevel="2">
      <c r="A19" s="40">
        <v>35796</v>
      </c>
      <c r="B19" s="2">
        <v>16</v>
      </c>
      <c r="C19" s="41">
        <v>22957</v>
      </c>
      <c r="D19" s="41"/>
      <c r="E19" s="41"/>
      <c r="F19" s="41"/>
      <c r="G19" s="41"/>
      <c r="H19" s="41"/>
      <c r="I19" s="41"/>
      <c r="J19" s="42"/>
      <c r="K19" s="42"/>
    </row>
    <row r="20" spans="1:11" ht="11.25" outlineLevel="1">
      <c r="A20" s="46" t="s">
        <v>135</v>
      </c>
      <c r="B20" s="2"/>
      <c r="C20" s="44">
        <f>SUBTOTAL(9,C12:C19)</f>
        <v>181820</v>
      </c>
      <c r="D20" s="41">
        <f>C20+I11</f>
        <v>237483</v>
      </c>
      <c r="E20" s="41">
        <v>176877</v>
      </c>
      <c r="F20" s="41">
        <v>17831</v>
      </c>
      <c r="G20" s="41">
        <f>E20-F20</f>
        <v>159046</v>
      </c>
      <c r="H20" s="41">
        <f>H11+G20</f>
        <v>277906</v>
      </c>
      <c r="I20" s="41">
        <f>D20-E20</f>
        <v>60606</v>
      </c>
      <c r="J20" s="49">
        <v>89924</v>
      </c>
      <c r="K20" s="50">
        <v>21541</v>
      </c>
    </row>
    <row r="21" spans="1:11" ht="11.25" outlineLevel="2">
      <c r="A21" s="40">
        <v>35827</v>
      </c>
      <c r="B21" s="2">
        <v>17</v>
      </c>
      <c r="C21" s="41">
        <v>22855</v>
      </c>
      <c r="D21" s="41"/>
      <c r="E21" s="41"/>
      <c r="F21" s="41"/>
      <c r="G21" s="41"/>
      <c r="H21" s="41"/>
      <c r="I21" s="41"/>
      <c r="J21" s="49"/>
      <c r="K21" s="50"/>
    </row>
    <row r="22" spans="1:11" ht="11.25" outlineLevel="2">
      <c r="A22" s="40">
        <v>35827</v>
      </c>
      <c r="B22" s="2">
        <v>18</v>
      </c>
      <c r="C22" s="41">
        <v>23233</v>
      </c>
      <c r="D22" s="41"/>
      <c r="E22" s="41"/>
      <c r="F22" s="41"/>
      <c r="G22" s="41"/>
      <c r="H22" s="41"/>
      <c r="I22" s="41"/>
      <c r="J22" s="49"/>
      <c r="K22" s="50"/>
    </row>
    <row r="23" spans="1:11" ht="11.25" outlineLevel="2">
      <c r="A23" s="40">
        <v>35827</v>
      </c>
      <c r="B23" s="2">
        <v>19</v>
      </c>
      <c r="C23" s="41">
        <v>23084</v>
      </c>
      <c r="D23" s="41"/>
      <c r="E23" s="41"/>
      <c r="F23" s="41"/>
      <c r="G23" s="41"/>
      <c r="H23" s="41"/>
      <c r="I23" s="41"/>
      <c r="J23" s="49"/>
      <c r="K23" s="50"/>
    </row>
    <row r="24" spans="1:11" ht="11.25" outlineLevel="2">
      <c r="A24" s="40">
        <v>35827</v>
      </c>
      <c r="B24" s="2">
        <v>20</v>
      </c>
      <c r="C24" s="41">
        <v>23395</v>
      </c>
      <c r="D24" s="41"/>
      <c r="E24" s="41"/>
      <c r="F24" s="41"/>
      <c r="G24" s="41"/>
      <c r="H24" s="41"/>
      <c r="I24" s="41"/>
      <c r="J24" s="49"/>
      <c r="K24" s="50"/>
    </row>
    <row r="25" spans="1:11" ht="11.25" outlineLevel="2">
      <c r="A25" s="40">
        <v>35827</v>
      </c>
      <c r="B25" s="2">
        <v>21</v>
      </c>
      <c r="C25" s="41">
        <v>23102</v>
      </c>
      <c r="D25" s="41"/>
      <c r="E25" s="41"/>
      <c r="F25" s="41"/>
      <c r="G25" s="41"/>
      <c r="H25" s="41"/>
      <c r="I25" s="41"/>
      <c r="J25" s="49"/>
      <c r="K25" s="50"/>
    </row>
    <row r="26" spans="1:11" ht="11.25" outlineLevel="2">
      <c r="A26" s="40">
        <v>35827</v>
      </c>
      <c r="B26" s="2">
        <v>22</v>
      </c>
      <c r="C26" s="41">
        <v>22917</v>
      </c>
      <c r="D26" s="41"/>
      <c r="E26" s="41"/>
      <c r="F26" s="41"/>
      <c r="G26" s="41"/>
      <c r="H26" s="41"/>
      <c r="I26" s="41"/>
      <c r="J26" s="49"/>
      <c r="K26" s="50"/>
    </row>
    <row r="27" spans="1:11" ht="11.25" outlineLevel="1">
      <c r="A27" s="46" t="s">
        <v>136</v>
      </c>
      <c r="B27" s="2"/>
      <c r="C27" s="44">
        <f>SUBTOTAL(9,C21:C26)</f>
        <v>138586</v>
      </c>
      <c r="D27" s="41">
        <f>C27+I20</f>
        <v>199192</v>
      </c>
      <c r="E27" s="41">
        <v>169275</v>
      </c>
      <c r="F27" s="41">
        <v>14377</v>
      </c>
      <c r="G27" s="41">
        <f>E27-F27</f>
        <v>154898</v>
      </c>
      <c r="H27" s="41">
        <f>H20+G27</f>
        <v>432804</v>
      </c>
      <c r="I27" s="41">
        <f>D27-E27</f>
        <v>29917</v>
      </c>
      <c r="J27" s="49">
        <v>77081</v>
      </c>
      <c r="K27" s="50">
        <v>10851</v>
      </c>
    </row>
    <row r="28" spans="1:11" ht="11.25" outlineLevel="2">
      <c r="A28" s="40">
        <v>35855</v>
      </c>
      <c r="B28" s="2">
        <v>23</v>
      </c>
      <c r="C28" s="41">
        <v>22531</v>
      </c>
      <c r="D28" s="41"/>
      <c r="E28" s="41"/>
      <c r="F28" s="41"/>
      <c r="G28" s="41"/>
      <c r="H28" s="41"/>
      <c r="I28" s="41"/>
      <c r="J28" s="49"/>
      <c r="K28" s="50"/>
    </row>
    <row r="29" spans="1:11" ht="11.25" outlineLevel="2">
      <c r="A29" s="40">
        <v>35855</v>
      </c>
      <c r="B29" s="2">
        <v>24</v>
      </c>
      <c r="C29" s="41">
        <v>22749</v>
      </c>
      <c r="D29" s="41"/>
      <c r="E29" s="41"/>
      <c r="F29" s="41"/>
      <c r="G29" s="41"/>
      <c r="H29" s="41"/>
      <c r="I29" s="41"/>
      <c r="J29" s="49"/>
      <c r="K29" s="50"/>
    </row>
    <row r="30" spans="1:14" ht="11.25" outlineLevel="2">
      <c r="A30" s="40">
        <v>35855</v>
      </c>
      <c r="B30" s="2">
        <v>25</v>
      </c>
      <c r="C30" s="41">
        <v>23073</v>
      </c>
      <c r="D30" s="41"/>
      <c r="E30" s="41"/>
      <c r="F30" s="41"/>
      <c r="G30" s="41"/>
      <c r="H30" s="41"/>
      <c r="I30" s="41"/>
      <c r="J30" s="49"/>
      <c r="K30" s="50"/>
      <c r="N30" s="3"/>
    </row>
    <row r="31" spans="1:11" ht="11.25" outlineLevel="2">
      <c r="A31" s="40">
        <v>35855</v>
      </c>
      <c r="B31" s="2">
        <v>26</v>
      </c>
      <c r="C31" s="41">
        <v>22579</v>
      </c>
      <c r="D31" s="41"/>
      <c r="E31" s="41"/>
      <c r="F31" s="41"/>
      <c r="G31" s="41"/>
      <c r="H31" s="41"/>
      <c r="I31" s="41"/>
      <c r="J31" s="49"/>
      <c r="K31" s="50"/>
    </row>
    <row r="32" spans="1:11" ht="11.25" outlineLevel="2">
      <c r="A32" s="40">
        <v>35855</v>
      </c>
      <c r="B32" s="2">
        <v>27</v>
      </c>
      <c r="C32" s="41">
        <v>22987</v>
      </c>
      <c r="D32" s="41"/>
      <c r="E32" s="41"/>
      <c r="F32" s="41"/>
      <c r="G32" s="41"/>
      <c r="H32" s="41"/>
      <c r="I32" s="41"/>
      <c r="J32" s="49"/>
      <c r="K32" s="50"/>
    </row>
    <row r="33" spans="1:13" ht="11.25" outlineLevel="2">
      <c r="A33" s="40">
        <v>35855</v>
      </c>
      <c r="B33" s="2">
        <v>28</v>
      </c>
      <c r="C33" s="41">
        <v>23294</v>
      </c>
      <c r="D33" s="41"/>
      <c r="E33" s="41"/>
      <c r="F33" s="41"/>
      <c r="G33" s="41"/>
      <c r="H33" s="41"/>
      <c r="I33" s="41"/>
      <c r="J33" s="49"/>
      <c r="K33" s="50"/>
      <c r="L33" s="2" t="s">
        <v>137</v>
      </c>
      <c r="M33" s="2"/>
    </row>
    <row r="34" spans="1:13" ht="11.25" outlineLevel="2">
      <c r="A34" s="40">
        <v>35855</v>
      </c>
      <c r="B34" s="2">
        <v>29</v>
      </c>
      <c r="C34" s="41">
        <v>23626</v>
      </c>
      <c r="D34" s="41"/>
      <c r="E34" s="41"/>
      <c r="F34" s="41"/>
      <c r="G34" s="41"/>
      <c r="H34" s="41"/>
      <c r="I34" s="41"/>
      <c r="J34" s="49"/>
      <c r="K34" s="50"/>
      <c r="L34" s="2" t="s">
        <v>138</v>
      </c>
      <c r="M34" s="2"/>
    </row>
    <row r="35" spans="1:13" ht="11.25" outlineLevel="2">
      <c r="A35" s="40">
        <v>35855</v>
      </c>
      <c r="B35" s="2">
        <v>30</v>
      </c>
      <c r="C35" s="41">
        <v>22753</v>
      </c>
      <c r="D35" s="41"/>
      <c r="E35" s="41"/>
      <c r="F35" s="41"/>
      <c r="G35" s="41"/>
      <c r="H35" s="41"/>
      <c r="I35" s="41"/>
      <c r="J35" s="49"/>
      <c r="K35" s="50"/>
      <c r="L35" s="48">
        <f>H36-118860</f>
        <v>494570</v>
      </c>
      <c r="M35" s="2"/>
    </row>
    <row r="36" spans="1:13" ht="11.25" outlineLevel="2">
      <c r="A36" s="40">
        <v>35855</v>
      </c>
      <c r="B36" s="2">
        <v>31</v>
      </c>
      <c r="C36" s="41">
        <v>21389</v>
      </c>
      <c r="D36" s="41">
        <f>C37+I27</f>
        <v>234898</v>
      </c>
      <c r="E36" s="41">
        <v>199823</v>
      </c>
      <c r="F36" s="41">
        <v>19197</v>
      </c>
      <c r="G36" s="41">
        <f>E36-F36</f>
        <v>180626</v>
      </c>
      <c r="H36" s="44">
        <f>H27+G36</f>
        <v>613430</v>
      </c>
      <c r="I36" s="44">
        <f>D36-E36</f>
        <v>35075</v>
      </c>
      <c r="J36" s="49">
        <v>58666</v>
      </c>
      <c r="K36" s="50">
        <v>4806</v>
      </c>
      <c r="L36" s="48">
        <f>J37</f>
        <v>225671</v>
      </c>
      <c r="M36" s="2"/>
    </row>
    <row r="37" spans="1:13" ht="12" outlineLevel="1" thickBot="1">
      <c r="A37" s="46" t="s">
        <v>139</v>
      </c>
      <c r="B37" s="2"/>
      <c r="C37" s="44">
        <f>SUBTOTAL(9,C28:C36)</f>
        <v>204981</v>
      </c>
      <c r="J37" s="51">
        <f>SUM(J20:J36)</f>
        <v>225671</v>
      </c>
      <c r="K37" s="52">
        <f>SUM(K20:K36)</f>
        <v>37198</v>
      </c>
      <c r="L37" s="48">
        <f>K37</f>
        <v>37198</v>
      </c>
      <c r="M37" s="2"/>
    </row>
    <row r="38" spans="1:13" ht="11.25">
      <c r="A38" s="46" t="s">
        <v>140</v>
      </c>
      <c r="B38" s="2"/>
      <c r="C38" s="44">
        <f>SUBTOTAL(9,C2:C36)</f>
        <v>710258</v>
      </c>
      <c r="D38" s="41"/>
      <c r="E38" s="44">
        <f>SUM(E2:E36)</f>
        <v>675183</v>
      </c>
      <c r="F38" s="44">
        <f>SUM(F2:F36)</f>
        <v>61753</v>
      </c>
      <c r="G38" s="41">
        <f>SUM(G2:G36)</f>
        <v>613430</v>
      </c>
      <c r="H38" s="41"/>
      <c r="I38" s="41">
        <f>SUM(I2:I36)</f>
        <v>181261</v>
      </c>
      <c r="J38" s="49"/>
      <c r="K38" s="45"/>
      <c r="L38" s="56">
        <f>SUM(L35:L37)</f>
        <v>757439</v>
      </c>
      <c r="M38" s="2"/>
    </row>
    <row r="39" spans="1:13" ht="9.75" customHeight="1">
      <c r="A39" s="46"/>
      <c r="C39" s="54"/>
      <c r="D39" s="55"/>
      <c r="E39" s="54"/>
      <c r="F39" s="54"/>
      <c r="G39" s="55"/>
      <c r="H39" s="55"/>
      <c r="I39" s="55"/>
      <c r="J39" s="57"/>
      <c r="K39" s="57"/>
      <c r="L39" s="58"/>
      <c r="M39" s="55"/>
    </row>
    <row r="40" spans="1:13" ht="9.75" customHeight="1">
      <c r="A40" s="46">
        <v>35886</v>
      </c>
      <c r="B40" s="2">
        <v>32</v>
      </c>
      <c r="C40" s="55">
        <v>22647</v>
      </c>
      <c r="D40" s="55"/>
      <c r="E40" s="54"/>
      <c r="F40" s="54"/>
      <c r="G40" s="55"/>
      <c r="H40" s="55"/>
      <c r="I40" s="55"/>
      <c r="J40" s="57"/>
      <c r="K40" s="57"/>
      <c r="L40" s="58"/>
      <c r="M40" s="55"/>
    </row>
    <row r="41" spans="1:13" ht="9.75" customHeight="1">
      <c r="A41" s="46">
        <v>35886</v>
      </c>
      <c r="B41" s="2">
        <v>33</v>
      </c>
      <c r="C41" s="55">
        <v>22910</v>
      </c>
      <c r="D41" s="55"/>
      <c r="E41" s="54"/>
      <c r="F41" s="54"/>
      <c r="G41" s="55"/>
      <c r="H41" s="55"/>
      <c r="I41" s="55"/>
      <c r="J41" s="57"/>
      <c r="K41" s="57"/>
      <c r="L41" s="58"/>
      <c r="M41" s="55"/>
    </row>
    <row r="42" spans="1:13" ht="9.75" customHeight="1">
      <c r="A42" s="46">
        <v>35886</v>
      </c>
      <c r="B42" s="2">
        <v>34</v>
      </c>
      <c r="C42" s="55">
        <v>23516</v>
      </c>
      <c r="D42" s="55"/>
      <c r="E42" s="55"/>
      <c r="F42" s="55"/>
      <c r="G42" s="55"/>
      <c r="H42" s="55"/>
      <c r="I42" s="55"/>
      <c r="J42" s="55"/>
      <c r="K42" s="55"/>
      <c r="L42" s="55"/>
      <c r="M42" s="55"/>
    </row>
    <row r="43" spans="1:13" ht="9.75" customHeight="1">
      <c r="A43" s="46">
        <v>35886</v>
      </c>
      <c r="B43" s="2">
        <v>35</v>
      </c>
      <c r="C43" s="55">
        <v>23290</v>
      </c>
      <c r="D43" s="55"/>
      <c r="E43" s="55"/>
      <c r="F43" s="55"/>
      <c r="G43" s="55"/>
      <c r="H43" s="55"/>
      <c r="I43" s="55"/>
      <c r="J43" s="55"/>
      <c r="K43" s="55"/>
      <c r="L43" s="55"/>
      <c r="M43" s="55"/>
    </row>
    <row r="44" spans="1:13" ht="9.75" customHeight="1">
      <c r="A44" s="46">
        <v>35886</v>
      </c>
      <c r="B44" s="2">
        <v>36</v>
      </c>
      <c r="C44" s="55">
        <v>22871</v>
      </c>
      <c r="D44" s="55"/>
      <c r="E44" s="55"/>
      <c r="F44" s="55"/>
      <c r="G44" s="55"/>
      <c r="H44" s="55"/>
      <c r="I44" s="55"/>
      <c r="J44" s="55"/>
      <c r="K44" s="55"/>
      <c r="L44" s="55"/>
      <c r="M44" s="55"/>
    </row>
    <row r="45" spans="1:13" ht="9.75" customHeight="1">
      <c r="A45" s="46">
        <v>35886</v>
      </c>
      <c r="B45" s="2">
        <v>37</v>
      </c>
      <c r="C45" s="55">
        <v>22706</v>
      </c>
      <c r="D45" s="55"/>
      <c r="E45" s="55"/>
      <c r="F45" s="55"/>
      <c r="G45" s="55"/>
      <c r="H45" s="55"/>
      <c r="I45" s="55"/>
      <c r="J45" s="55"/>
      <c r="K45" s="55"/>
      <c r="L45" s="55"/>
      <c r="M45" s="55"/>
    </row>
    <row r="46" spans="1:13" ht="9.75" customHeight="1">
      <c r="A46" s="46">
        <v>35886</v>
      </c>
      <c r="B46" s="2">
        <v>38</v>
      </c>
      <c r="C46" s="55">
        <v>22849</v>
      </c>
      <c r="D46" s="55"/>
      <c r="E46" s="55"/>
      <c r="F46" s="55"/>
      <c r="G46" s="55"/>
      <c r="H46" s="55"/>
      <c r="I46" s="55"/>
      <c r="J46" s="55"/>
      <c r="K46" s="55"/>
      <c r="L46" s="55"/>
      <c r="M46" s="55"/>
    </row>
    <row r="47" spans="1:13" ht="9.75" customHeight="1">
      <c r="A47" s="46">
        <v>35886</v>
      </c>
      <c r="B47" s="2">
        <v>39</v>
      </c>
      <c r="C47" s="55">
        <v>23077</v>
      </c>
      <c r="D47" s="55"/>
      <c r="E47" s="55"/>
      <c r="F47" s="55"/>
      <c r="G47" s="55"/>
      <c r="H47" s="55"/>
      <c r="I47" s="55"/>
      <c r="J47" s="55"/>
      <c r="K47" s="55"/>
      <c r="L47" s="55"/>
      <c r="M47" s="55"/>
    </row>
    <row r="48" spans="1:13" ht="9.75" customHeight="1">
      <c r="A48" s="46" t="s">
        <v>183</v>
      </c>
      <c r="B48" s="2"/>
      <c r="C48" s="54">
        <f>SUM(C40:C47)</f>
        <v>183866</v>
      </c>
      <c r="D48" s="55">
        <f>I36+C48</f>
        <v>218941</v>
      </c>
      <c r="E48" s="55">
        <v>163329</v>
      </c>
      <c r="F48" s="55">
        <v>11934</v>
      </c>
      <c r="G48" s="55">
        <f>E48-F48</f>
        <v>151395</v>
      </c>
      <c r="H48" s="55">
        <f>H36+G48</f>
        <v>764825</v>
      </c>
      <c r="I48" s="55">
        <f>D48-E48</f>
        <v>55612</v>
      </c>
      <c r="J48" s="55"/>
      <c r="K48" s="55"/>
      <c r="L48" s="55"/>
      <c r="M48" s="55"/>
    </row>
    <row r="49" spans="1:13" ht="9.75" customHeight="1">
      <c r="A49" s="46">
        <v>35916</v>
      </c>
      <c r="B49" s="2">
        <v>40</v>
      </c>
      <c r="C49" s="55">
        <v>22511</v>
      </c>
      <c r="D49" s="55"/>
      <c r="E49" s="55"/>
      <c r="F49" s="55"/>
      <c r="G49" s="55"/>
      <c r="H49" s="55"/>
      <c r="I49" s="55"/>
      <c r="J49" s="55"/>
      <c r="K49" s="55"/>
      <c r="L49" s="55"/>
      <c r="M49" s="55"/>
    </row>
    <row r="50" spans="1:13" ht="9.75" customHeight="1">
      <c r="A50" s="46">
        <v>35916</v>
      </c>
      <c r="B50" s="2">
        <v>41</v>
      </c>
      <c r="C50" s="55">
        <v>23080</v>
      </c>
      <c r="D50" s="55"/>
      <c r="E50" s="55"/>
      <c r="F50" s="55"/>
      <c r="G50" s="55"/>
      <c r="H50" s="55"/>
      <c r="I50" s="55"/>
      <c r="J50" s="55"/>
      <c r="K50" s="55"/>
      <c r="L50" s="55"/>
      <c r="M50" s="55"/>
    </row>
    <row r="51" spans="1:13" ht="9.75" customHeight="1">
      <c r="A51" s="46">
        <v>35916</v>
      </c>
      <c r="B51" s="2">
        <v>42</v>
      </c>
      <c r="C51" s="55">
        <v>22475</v>
      </c>
      <c r="D51" s="55"/>
      <c r="E51" s="55"/>
      <c r="F51" s="55"/>
      <c r="G51" s="55"/>
      <c r="H51" s="55"/>
      <c r="I51" s="55"/>
      <c r="J51" s="55"/>
      <c r="K51" s="55"/>
      <c r="L51" s="55"/>
      <c r="M51" s="55"/>
    </row>
    <row r="52" spans="1:13" ht="9.75" customHeight="1">
      <c r="A52" s="46">
        <v>35916</v>
      </c>
      <c r="B52" s="2">
        <v>43</v>
      </c>
      <c r="C52" s="55">
        <v>23044</v>
      </c>
      <c r="D52" s="55"/>
      <c r="E52" s="55"/>
      <c r="F52" s="55"/>
      <c r="G52" s="55"/>
      <c r="H52" s="55"/>
      <c r="I52" s="55"/>
      <c r="J52" s="55"/>
      <c r="K52" s="55"/>
      <c r="L52" s="55"/>
      <c r="M52" s="55"/>
    </row>
    <row r="53" spans="1:13" ht="9.75" customHeight="1">
      <c r="A53" s="46">
        <v>35916</v>
      </c>
      <c r="B53" s="2">
        <v>44</v>
      </c>
      <c r="C53" s="55">
        <v>23554</v>
      </c>
      <c r="D53" s="55"/>
      <c r="I53" s="55"/>
      <c r="J53" s="55"/>
      <c r="K53" s="55"/>
      <c r="L53" s="55"/>
      <c r="M53" s="55"/>
    </row>
    <row r="54" spans="1:13" ht="9.75" customHeight="1">
      <c r="A54" s="46" t="s">
        <v>200</v>
      </c>
      <c r="B54" s="2"/>
      <c r="C54" s="54">
        <f>SUM(C49:C53)</f>
        <v>114664</v>
      </c>
      <c r="D54" s="55">
        <f>I48+C54</f>
        <v>170276</v>
      </c>
      <c r="E54" s="55">
        <v>163582</v>
      </c>
      <c r="F54" s="55">
        <v>10816</v>
      </c>
      <c r="G54" s="55">
        <f>E54-F54</f>
        <v>152766</v>
      </c>
      <c r="H54" s="55">
        <f>H48+G54</f>
        <v>917591</v>
      </c>
      <c r="I54" s="55">
        <f>D54-E54</f>
        <v>6694</v>
      </c>
      <c r="J54" s="55"/>
      <c r="K54" s="55"/>
      <c r="L54" s="55"/>
      <c r="M54" s="55"/>
    </row>
    <row r="55" spans="1:13" ht="9.75" customHeight="1">
      <c r="A55" s="46">
        <v>35947</v>
      </c>
      <c r="B55" s="2">
        <v>45</v>
      </c>
      <c r="C55" s="55">
        <v>22705</v>
      </c>
      <c r="D55" s="55"/>
      <c r="E55" s="55"/>
      <c r="F55" s="55"/>
      <c r="G55" s="55"/>
      <c r="H55" s="55"/>
      <c r="I55" s="55"/>
      <c r="J55" s="55"/>
      <c r="K55" s="55"/>
      <c r="L55" s="55"/>
      <c r="M55" s="55"/>
    </row>
    <row r="56" spans="1:13" ht="9.75" customHeight="1">
      <c r="A56" s="2"/>
      <c r="B56" s="2">
        <v>46</v>
      </c>
      <c r="C56" s="55">
        <v>23217</v>
      </c>
      <c r="D56" s="55"/>
      <c r="E56" s="55"/>
      <c r="F56" s="55"/>
      <c r="G56" s="55"/>
      <c r="H56" s="55"/>
      <c r="I56" s="55"/>
      <c r="J56" s="55"/>
      <c r="K56" s="55"/>
      <c r="L56" s="55"/>
      <c r="M56" s="55"/>
    </row>
    <row r="57" spans="1:13" ht="9.75" customHeight="1">
      <c r="A57" s="2"/>
      <c r="B57" s="2">
        <v>47</v>
      </c>
      <c r="C57" s="55">
        <v>23300</v>
      </c>
      <c r="D57" s="55"/>
      <c r="E57" s="55"/>
      <c r="F57" s="55"/>
      <c r="G57" s="55"/>
      <c r="H57" s="55"/>
      <c r="I57" s="55"/>
      <c r="J57" s="55"/>
      <c r="K57" s="55"/>
      <c r="L57" s="55"/>
      <c r="M57" s="55"/>
    </row>
    <row r="58" spans="1:13" ht="9.75" customHeight="1">
      <c r="A58" s="2"/>
      <c r="B58" s="2">
        <v>48</v>
      </c>
      <c r="C58" s="55">
        <v>23560</v>
      </c>
      <c r="D58" s="55"/>
      <c r="E58" s="55"/>
      <c r="F58" s="55"/>
      <c r="G58" s="55"/>
      <c r="H58" s="55"/>
      <c r="I58" s="55"/>
      <c r="J58" s="55"/>
      <c r="K58" s="55"/>
      <c r="L58" s="55"/>
      <c r="M58" s="55"/>
    </row>
    <row r="59" spans="1:13" ht="9.75" customHeight="1">
      <c r="A59" s="2"/>
      <c r="B59" s="2">
        <v>49</v>
      </c>
      <c r="C59" s="55">
        <v>22701</v>
      </c>
      <c r="D59" s="55"/>
      <c r="E59" s="55"/>
      <c r="F59" s="55"/>
      <c r="G59" s="55"/>
      <c r="H59" s="55"/>
      <c r="I59" s="55"/>
      <c r="J59" s="55"/>
      <c r="K59" s="55"/>
      <c r="L59" s="55"/>
      <c r="M59" s="55"/>
    </row>
    <row r="60" spans="1:13" ht="9.75" customHeight="1">
      <c r="A60" s="2"/>
      <c r="B60" s="2">
        <v>50</v>
      </c>
      <c r="C60" s="55">
        <v>22397</v>
      </c>
      <c r="D60" s="55"/>
      <c r="E60" s="55"/>
      <c r="F60" s="55"/>
      <c r="G60" s="55"/>
      <c r="H60" s="55"/>
      <c r="I60" s="55"/>
      <c r="J60" s="55"/>
      <c r="K60" s="55"/>
      <c r="L60" s="55"/>
      <c r="M60" s="55"/>
    </row>
    <row r="61" spans="1:13" ht="9.75" customHeight="1">
      <c r="A61" s="2"/>
      <c r="B61" s="2">
        <v>51</v>
      </c>
      <c r="C61" s="55">
        <v>22801</v>
      </c>
      <c r="D61" s="55"/>
      <c r="E61" s="55"/>
      <c r="F61" s="55"/>
      <c r="G61" s="55"/>
      <c r="H61" s="55"/>
      <c r="I61" s="55"/>
      <c r="J61" s="55"/>
      <c r="K61" s="55"/>
      <c r="L61" s="55"/>
      <c r="M61" s="55"/>
    </row>
    <row r="62" spans="1:13" ht="9.75" customHeight="1">
      <c r="A62" s="2"/>
      <c r="B62" s="2">
        <v>52</v>
      </c>
      <c r="C62" s="55">
        <v>22614</v>
      </c>
      <c r="D62" s="55"/>
      <c r="E62" s="55"/>
      <c r="F62" s="55"/>
      <c r="G62" s="55"/>
      <c r="H62" s="55"/>
      <c r="I62" s="55"/>
      <c r="J62" s="55"/>
      <c r="K62" s="55"/>
      <c r="L62" s="55"/>
      <c r="M62" s="55"/>
    </row>
    <row r="63" spans="1:13" ht="9.75" customHeight="1">
      <c r="A63" s="2"/>
      <c r="B63" s="2">
        <v>53</v>
      </c>
      <c r="C63" s="55">
        <v>23141</v>
      </c>
      <c r="D63" s="55"/>
      <c r="E63" s="55"/>
      <c r="F63" s="55"/>
      <c r="G63" s="55"/>
      <c r="H63" s="55"/>
      <c r="I63" s="55"/>
      <c r="J63" s="55"/>
      <c r="K63" s="55"/>
      <c r="L63" s="55"/>
      <c r="M63" s="55"/>
    </row>
    <row r="64" spans="1:13" ht="9.75" customHeight="1">
      <c r="A64" s="2"/>
      <c r="B64" s="2">
        <v>54</v>
      </c>
      <c r="C64" s="55">
        <v>23084</v>
      </c>
      <c r="D64" s="55"/>
      <c r="E64" s="55"/>
      <c r="F64" s="55"/>
      <c r="G64" s="55"/>
      <c r="H64" s="55"/>
      <c r="I64" s="55"/>
      <c r="J64" s="55"/>
      <c r="K64" s="55"/>
      <c r="L64" s="55"/>
      <c r="M64" s="55"/>
    </row>
    <row r="65" spans="1:13" ht="9.75" customHeight="1">
      <c r="A65" s="2"/>
      <c r="B65" s="2">
        <v>55</v>
      </c>
      <c r="C65" s="55">
        <v>22579</v>
      </c>
      <c r="D65" s="55"/>
      <c r="E65" s="55"/>
      <c r="F65" s="55"/>
      <c r="G65" s="55"/>
      <c r="H65" s="55"/>
      <c r="I65" s="55"/>
      <c r="J65" s="55"/>
      <c r="K65" s="55"/>
      <c r="L65" s="55"/>
      <c r="M65" s="55"/>
    </row>
    <row r="66" spans="3:13" ht="9.75" customHeight="1">
      <c r="C66" s="54">
        <f>SUM(C55:C65)</f>
        <v>252099</v>
      </c>
      <c r="D66" s="55">
        <f>I54+C66</f>
        <v>258793</v>
      </c>
      <c r="E66" s="55">
        <v>251107</v>
      </c>
      <c r="F66" s="55">
        <v>12028</v>
      </c>
      <c r="G66" s="55">
        <f>E66-F66</f>
        <v>239079</v>
      </c>
      <c r="H66" s="54">
        <f>H54+G66</f>
        <v>1156670</v>
      </c>
      <c r="I66" s="55">
        <f>D66-E66</f>
        <v>7686</v>
      </c>
      <c r="J66" s="55"/>
      <c r="K66" s="55"/>
      <c r="L66" s="55"/>
      <c r="M66" s="55"/>
    </row>
    <row r="67" spans="1:13" ht="9.75" customHeight="1">
      <c r="A67" s="46">
        <v>35977</v>
      </c>
      <c r="B67" s="2">
        <v>56</v>
      </c>
      <c r="C67" s="55">
        <v>22385</v>
      </c>
      <c r="H67" s="41"/>
      <c r="I67" s="41"/>
      <c r="J67" s="55"/>
      <c r="K67" s="55"/>
      <c r="L67" s="55"/>
      <c r="M67" s="55"/>
    </row>
    <row r="68" spans="1:13" ht="9.75" customHeight="1">
      <c r="A68" s="2"/>
      <c r="B68" s="2">
        <v>57</v>
      </c>
      <c r="C68" s="55">
        <v>22863</v>
      </c>
      <c r="D68" s="55"/>
      <c r="E68" s="55"/>
      <c r="F68" s="55"/>
      <c r="G68" s="55"/>
      <c r="H68" s="55"/>
      <c r="I68" s="55"/>
      <c r="J68" s="55"/>
      <c r="K68" s="55"/>
      <c r="L68" s="55"/>
      <c r="M68" s="55"/>
    </row>
    <row r="69" spans="1:13" ht="9.75" customHeight="1">
      <c r="A69" s="2"/>
      <c r="B69" s="2">
        <v>58</v>
      </c>
      <c r="C69" s="55">
        <v>23213</v>
      </c>
      <c r="D69" s="55"/>
      <c r="E69" s="55"/>
      <c r="F69" s="55"/>
      <c r="G69" s="55"/>
      <c r="H69" s="55"/>
      <c r="I69" s="55"/>
      <c r="J69" s="55"/>
      <c r="K69" s="55"/>
      <c r="L69" s="55"/>
      <c r="M69" s="55"/>
    </row>
    <row r="70" spans="1:13" ht="9.75" customHeight="1">
      <c r="A70" s="2"/>
      <c r="B70" s="2">
        <v>59</v>
      </c>
      <c r="C70" s="55">
        <v>22409</v>
      </c>
      <c r="D70" s="55"/>
      <c r="E70" s="55"/>
      <c r="F70" s="55"/>
      <c r="G70" s="55"/>
      <c r="H70" s="55"/>
      <c r="I70" s="55"/>
      <c r="J70" s="55"/>
      <c r="K70" s="55"/>
      <c r="L70" s="55"/>
      <c r="M70" s="55"/>
    </row>
    <row r="71" spans="3:13" ht="9.75" customHeight="1">
      <c r="C71" s="54">
        <f>SUM(C67:C70)</f>
        <v>90870</v>
      </c>
      <c r="D71" s="55">
        <f>I66+C71</f>
        <v>98556</v>
      </c>
      <c r="E71" s="55">
        <v>76861</v>
      </c>
      <c r="F71" s="55">
        <v>10645</v>
      </c>
      <c r="G71" s="55">
        <f>E71-F71</f>
        <v>66216</v>
      </c>
      <c r="H71" s="54">
        <f>H66+G71</f>
        <v>1222886</v>
      </c>
      <c r="I71" s="55">
        <f>D71-E71</f>
        <v>21695</v>
      </c>
      <c r="J71" s="55"/>
      <c r="K71" s="55"/>
      <c r="L71" s="55"/>
      <c r="M71" s="55"/>
    </row>
    <row r="72" spans="1:13" ht="9.75" customHeight="1">
      <c r="A72" s="46">
        <v>36008</v>
      </c>
      <c r="B72" s="2">
        <v>60</v>
      </c>
      <c r="C72" s="55">
        <v>23218</v>
      </c>
      <c r="D72" s="55"/>
      <c r="E72" s="55"/>
      <c r="F72" s="55"/>
      <c r="G72" s="55"/>
      <c r="H72" s="55"/>
      <c r="I72" s="55"/>
      <c r="J72" s="55"/>
      <c r="K72" s="55"/>
      <c r="L72" s="55"/>
      <c r="M72" s="55"/>
    </row>
    <row r="73" spans="1:13" ht="9.75" customHeight="1">
      <c r="A73" s="2"/>
      <c r="B73" s="2">
        <v>61</v>
      </c>
      <c r="C73" s="55">
        <v>23298</v>
      </c>
      <c r="D73" s="55"/>
      <c r="E73" s="55"/>
      <c r="F73" s="55"/>
      <c r="G73" s="55"/>
      <c r="H73" s="55"/>
      <c r="I73" s="55"/>
      <c r="J73" s="55"/>
      <c r="K73" s="55"/>
      <c r="L73" s="55"/>
      <c r="M73" s="55"/>
    </row>
    <row r="74" spans="1:13" ht="9.75" customHeight="1">
      <c r="A74" s="2"/>
      <c r="B74" s="2">
        <v>62</v>
      </c>
      <c r="C74" s="55">
        <v>22805</v>
      </c>
      <c r="D74" s="55"/>
      <c r="E74" s="55"/>
      <c r="F74" s="55"/>
      <c r="G74" s="55"/>
      <c r="H74" s="55"/>
      <c r="I74" s="55"/>
      <c r="J74" s="55"/>
      <c r="K74" s="55"/>
      <c r="L74" s="55"/>
      <c r="M74" s="55"/>
    </row>
    <row r="75" spans="1:13" ht="9.75" customHeight="1">
      <c r="A75" s="2"/>
      <c r="B75" s="2">
        <v>63</v>
      </c>
      <c r="C75" s="55">
        <v>23218</v>
      </c>
      <c r="D75" s="55"/>
      <c r="E75" s="55"/>
      <c r="F75" s="55"/>
      <c r="G75" s="55"/>
      <c r="H75" s="55"/>
      <c r="I75" s="55"/>
      <c r="J75" s="55"/>
      <c r="K75" s="55"/>
      <c r="L75" s="55"/>
      <c r="M75" s="55"/>
    </row>
    <row r="76" spans="1:13" ht="9.75" customHeight="1">
      <c r="A76" s="2"/>
      <c r="B76" s="2">
        <v>64</v>
      </c>
      <c r="C76" s="55">
        <v>23083</v>
      </c>
      <c r="D76" s="55"/>
      <c r="E76" s="55"/>
      <c r="F76" s="55"/>
      <c r="G76" s="55"/>
      <c r="H76" s="55"/>
      <c r="I76" s="55"/>
      <c r="J76" s="55"/>
      <c r="K76" s="55"/>
      <c r="L76" s="55"/>
      <c r="M76" s="55"/>
    </row>
    <row r="77" spans="1:13" ht="9.75" customHeight="1">
      <c r="A77" s="2"/>
      <c r="B77" s="2">
        <v>65</v>
      </c>
      <c r="C77" s="55">
        <v>22766</v>
      </c>
      <c r="D77" s="55"/>
      <c r="E77" s="55"/>
      <c r="F77" s="55"/>
      <c r="G77" s="55"/>
      <c r="H77" s="55"/>
      <c r="I77" s="55"/>
      <c r="J77" s="55"/>
      <c r="K77" s="55"/>
      <c r="L77" s="55"/>
      <c r="M77" s="55"/>
    </row>
    <row r="78" spans="1:13" ht="9.75" customHeight="1">
      <c r="A78" s="2"/>
      <c r="B78" s="2">
        <v>66</v>
      </c>
      <c r="C78" s="55">
        <v>22963</v>
      </c>
      <c r="H78" s="55"/>
      <c r="I78" s="55"/>
      <c r="J78" s="55"/>
      <c r="K78" s="55"/>
      <c r="L78" s="55"/>
      <c r="M78" s="55"/>
    </row>
    <row r="79" spans="1:13" ht="9.75" customHeight="1">
      <c r="A79" s="2"/>
      <c r="B79" s="2">
        <v>67</v>
      </c>
      <c r="C79" s="55">
        <v>22940</v>
      </c>
      <c r="D79" s="55"/>
      <c r="E79" s="55"/>
      <c r="F79" s="55"/>
      <c r="G79" s="55"/>
      <c r="H79" s="55"/>
      <c r="I79" s="55"/>
      <c r="J79" s="55"/>
      <c r="K79" s="55"/>
      <c r="L79" s="55"/>
      <c r="M79" s="55"/>
    </row>
    <row r="80" spans="1:13" ht="9.75" customHeight="1">
      <c r="A80" s="2"/>
      <c r="B80" s="2">
        <v>68</v>
      </c>
      <c r="C80" s="55">
        <v>22941</v>
      </c>
      <c r="D80" s="55"/>
      <c r="E80" s="55"/>
      <c r="F80" s="55"/>
      <c r="G80" s="55"/>
      <c r="H80" s="55"/>
      <c r="I80" s="55"/>
      <c r="J80" s="55"/>
      <c r="K80" s="55"/>
      <c r="L80" s="55"/>
      <c r="M80" s="55"/>
    </row>
    <row r="81" spans="1:13" ht="9.75" customHeight="1">
      <c r="A81" s="2"/>
      <c r="B81" s="2">
        <v>69</v>
      </c>
      <c r="C81" s="55">
        <v>22681</v>
      </c>
      <c r="D81" s="55"/>
      <c r="E81" s="55"/>
      <c r="F81" s="55"/>
      <c r="G81" s="55"/>
      <c r="H81" s="55"/>
      <c r="I81" s="55"/>
      <c r="J81" s="55"/>
      <c r="K81" s="55"/>
      <c r="L81" s="55"/>
      <c r="M81" s="55"/>
    </row>
    <row r="82" spans="1:13" ht="9.75" customHeight="1">
      <c r="A82" s="2"/>
      <c r="B82" s="2">
        <v>70</v>
      </c>
      <c r="C82" s="55">
        <v>23019</v>
      </c>
      <c r="D82" s="55"/>
      <c r="E82" s="55"/>
      <c r="F82" s="55"/>
      <c r="G82" s="55"/>
      <c r="H82" s="55"/>
      <c r="I82" s="55"/>
      <c r="J82" s="55"/>
      <c r="K82" s="55"/>
      <c r="L82" s="55"/>
      <c r="M82" s="55"/>
    </row>
    <row r="83" spans="2:13" ht="9.75" customHeight="1">
      <c r="B83" s="55"/>
      <c r="C83" s="54">
        <f>SUM(C72:C82)</f>
        <v>252932</v>
      </c>
      <c r="D83" s="57">
        <f>I71+C83</f>
        <v>274627</v>
      </c>
      <c r="E83" s="55">
        <v>215468</v>
      </c>
      <c r="F83" s="55">
        <v>20302</v>
      </c>
      <c r="G83" s="55">
        <f>E83-F83</f>
        <v>195166</v>
      </c>
      <c r="H83" s="55">
        <f>H71+G83</f>
        <v>1418052</v>
      </c>
      <c r="I83" s="55">
        <f>D83-E83</f>
        <v>59159</v>
      </c>
      <c r="J83" s="55"/>
      <c r="K83" s="55"/>
      <c r="L83" s="55"/>
      <c r="M83" s="55"/>
    </row>
    <row r="84" spans="2:13" ht="9.75" customHeight="1"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</row>
    <row r="85" spans="1:13" ht="9.75" customHeight="1">
      <c r="A85" s="46" t="s">
        <v>140</v>
      </c>
      <c r="B85" s="55"/>
      <c r="C85" s="54">
        <f>C4+C11+C20++C27+C37+C48+C54+C66+C71+C83</f>
        <v>1604689</v>
      </c>
      <c r="D85" s="55"/>
      <c r="E85" s="54">
        <f>E11+E20+E27+E36+E48+E54+E66+E71+E83</f>
        <v>1545530</v>
      </c>
      <c r="F85" s="54">
        <f>F66+F54+F48+F36+F27+F20+F11+F71+F83</f>
        <v>127478</v>
      </c>
      <c r="G85" s="54">
        <f>E85-F85</f>
        <v>1418052</v>
      </c>
      <c r="H85" s="55"/>
      <c r="I85" s="55"/>
      <c r="J85" s="55"/>
      <c r="K85" s="55"/>
      <c r="L85" s="55"/>
      <c r="M85" s="55"/>
    </row>
    <row r="86" spans="2:13" ht="9.75" customHeight="1"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</row>
    <row r="87" spans="2:13" ht="9.75" customHeight="1">
      <c r="B87" s="55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</row>
    <row r="88" spans="1:13" ht="9.75" customHeight="1">
      <c r="A88" s="46">
        <v>36039</v>
      </c>
      <c r="B88" s="2">
        <v>71</v>
      </c>
      <c r="C88" s="55">
        <v>22731</v>
      </c>
      <c r="D88" s="55"/>
      <c r="E88" s="55"/>
      <c r="F88" s="55"/>
      <c r="G88" s="55"/>
      <c r="H88" s="55"/>
      <c r="I88" s="55"/>
      <c r="J88" s="55"/>
      <c r="K88" s="55"/>
      <c r="L88" s="55"/>
      <c r="M88" s="55"/>
    </row>
    <row r="89" spans="1:13" ht="9.75" customHeight="1">
      <c r="A89" s="2"/>
      <c r="B89" s="2">
        <v>72</v>
      </c>
      <c r="C89" s="55">
        <v>22075</v>
      </c>
      <c r="D89" s="55"/>
      <c r="E89" s="55"/>
      <c r="F89" s="55"/>
      <c r="G89" s="55"/>
      <c r="H89" s="55"/>
      <c r="I89" s="55"/>
      <c r="J89" s="55"/>
      <c r="K89" s="55"/>
      <c r="L89" s="55"/>
      <c r="M89" s="55"/>
    </row>
    <row r="90" spans="1:13" ht="9.75" customHeight="1">
      <c r="A90" s="2"/>
      <c r="B90" s="2">
        <v>73</v>
      </c>
      <c r="C90" s="55">
        <v>22493</v>
      </c>
      <c r="D90" s="55"/>
      <c r="E90" s="55"/>
      <c r="F90" s="55"/>
      <c r="G90" s="55"/>
      <c r="H90" s="55"/>
      <c r="I90" s="55"/>
      <c r="J90" s="55"/>
      <c r="K90" s="55"/>
      <c r="L90" s="55"/>
      <c r="M90" s="55"/>
    </row>
    <row r="91" spans="1:13" ht="9.75" customHeight="1">
      <c r="A91" s="2"/>
      <c r="B91" s="2">
        <v>74</v>
      </c>
      <c r="C91" s="55">
        <v>22694</v>
      </c>
      <c r="D91" s="55"/>
      <c r="E91" s="55"/>
      <c r="F91" s="55"/>
      <c r="G91" s="55"/>
      <c r="H91" s="55"/>
      <c r="I91" s="55"/>
      <c r="J91" s="55"/>
      <c r="K91" s="55"/>
      <c r="L91" s="55"/>
      <c r="M91" s="55"/>
    </row>
    <row r="92" spans="1:12" ht="9.75" customHeight="1">
      <c r="A92" s="2"/>
      <c r="B92" s="2">
        <v>75</v>
      </c>
      <c r="C92" s="55">
        <v>23038</v>
      </c>
      <c r="D92" s="55"/>
      <c r="E92" s="55"/>
      <c r="F92" s="55"/>
      <c r="G92" s="55"/>
      <c r="H92" s="55"/>
      <c r="I92" s="55"/>
      <c r="J92" s="55"/>
      <c r="K92" s="55"/>
      <c r="L92" s="55"/>
    </row>
    <row r="93" spans="1:12" ht="9.75" customHeight="1">
      <c r="A93" s="2"/>
      <c r="B93" s="2">
        <v>76</v>
      </c>
      <c r="C93" s="55">
        <v>23253</v>
      </c>
      <c r="D93" s="55"/>
      <c r="E93" s="55"/>
      <c r="F93" s="55"/>
      <c r="G93" s="55"/>
      <c r="H93" s="55"/>
      <c r="I93" s="55"/>
      <c r="J93" s="55"/>
      <c r="K93" s="55"/>
      <c r="L93" s="55"/>
    </row>
    <row r="94" spans="1:12" ht="9.75" customHeight="1">
      <c r="A94" s="2"/>
      <c r="B94" s="2">
        <v>77</v>
      </c>
      <c r="C94" s="55">
        <v>23250</v>
      </c>
      <c r="H94" s="55"/>
      <c r="I94" s="55"/>
      <c r="J94" s="55"/>
      <c r="K94" s="55"/>
      <c r="L94" s="55"/>
    </row>
    <row r="95" spans="1:12" ht="9.75" customHeight="1">
      <c r="A95" s="2"/>
      <c r="B95" s="2">
        <v>78</v>
      </c>
      <c r="C95" s="55">
        <v>22736</v>
      </c>
      <c r="D95" s="55"/>
      <c r="E95" s="55"/>
      <c r="F95" s="55"/>
      <c r="G95" s="55"/>
      <c r="H95" s="55"/>
      <c r="I95" s="55"/>
      <c r="J95" s="55"/>
      <c r="K95" s="55"/>
      <c r="L95" s="55"/>
    </row>
    <row r="96" spans="1:12" ht="9.75" customHeight="1">
      <c r="A96" s="2"/>
      <c r="B96" s="2">
        <v>79</v>
      </c>
      <c r="C96" s="55">
        <v>23287</v>
      </c>
      <c r="D96" s="55"/>
      <c r="E96" s="55"/>
      <c r="F96" s="55"/>
      <c r="G96" s="55"/>
      <c r="H96" s="55"/>
      <c r="I96" s="55"/>
      <c r="J96" s="55"/>
      <c r="K96" s="55"/>
      <c r="L96" s="55"/>
    </row>
    <row r="97" spans="1:12" ht="9.75" customHeight="1">
      <c r="A97" s="2"/>
      <c r="B97" s="2">
        <v>80</v>
      </c>
      <c r="C97" s="55">
        <v>23253</v>
      </c>
      <c r="D97" s="55"/>
      <c r="E97" s="55"/>
      <c r="F97" s="55"/>
      <c r="G97" s="55"/>
      <c r="H97" s="55"/>
      <c r="I97" s="55"/>
      <c r="J97" s="55"/>
      <c r="K97" s="55"/>
      <c r="L97" s="55"/>
    </row>
    <row r="98" spans="1:12" ht="9.75" customHeight="1">
      <c r="A98" s="2"/>
      <c r="B98" s="2">
        <v>81</v>
      </c>
      <c r="C98" s="55">
        <v>23215</v>
      </c>
      <c r="D98" s="55"/>
      <c r="E98" s="55"/>
      <c r="F98" s="55"/>
      <c r="G98" s="55"/>
      <c r="H98" s="55"/>
      <c r="I98" s="55"/>
      <c r="J98" s="55"/>
      <c r="K98" s="55"/>
      <c r="L98" s="55"/>
    </row>
    <row r="99" spans="2:12" ht="9.75" customHeight="1">
      <c r="B99" s="55"/>
      <c r="C99" s="54">
        <f>SUM(C88:C98)</f>
        <v>252025</v>
      </c>
      <c r="D99" s="57">
        <f>I83+C99</f>
        <v>311184</v>
      </c>
      <c r="E99" s="55">
        <v>274163</v>
      </c>
      <c r="F99" s="55">
        <v>14769</v>
      </c>
      <c r="G99" s="55">
        <f>E99-F99</f>
        <v>259394</v>
      </c>
      <c r="H99" s="55">
        <f>H83+G99</f>
        <v>1677446</v>
      </c>
      <c r="I99" s="55">
        <f>D99-E99</f>
        <v>37021</v>
      </c>
      <c r="J99" s="55"/>
      <c r="K99" s="55"/>
      <c r="L99" s="55"/>
    </row>
    <row r="100" spans="1:12" ht="9.75" customHeight="1">
      <c r="A100" s="46">
        <v>36069</v>
      </c>
      <c r="B100" s="2">
        <v>82</v>
      </c>
      <c r="C100" s="55">
        <v>23267</v>
      </c>
      <c r="D100" s="55"/>
      <c r="E100" s="55"/>
      <c r="F100" s="55"/>
      <c r="G100" s="55"/>
      <c r="H100" s="55"/>
      <c r="I100" s="55"/>
      <c r="J100" s="55"/>
      <c r="K100" s="55"/>
      <c r="L100" s="55"/>
    </row>
    <row r="101" spans="1:12" ht="9.75" customHeight="1">
      <c r="A101" s="2"/>
      <c r="B101" s="2">
        <v>83</v>
      </c>
      <c r="C101" s="55">
        <v>23035</v>
      </c>
      <c r="D101" s="55"/>
      <c r="E101" s="55"/>
      <c r="F101" s="55"/>
      <c r="G101" s="55"/>
      <c r="H101" s="55"/>
      <c r="I101" s="55"/>
      <c r="J101" s="55"/>
      <c r="K101" s="55"/>
      <c r="L101" s="55"/>
    </row>
    <row r="102" spans="1:12" ht="9.75" customHeight="1">
      <c r="A102" s="2"/>
      <c r="B102" s="2">
        <v>84</v>
      </c>
      <c r="C102" s="55">
        <v>22793</v>
      </c>
      <c r="D102" s="55"/>
      <c r="E102" s="55"/>
      <c r="F102" s="55"/>
      <c r="G102" s="55"/>
      <c r="H102" s="55"/>
      <c r="I102" s="55"/>
      <c r="J102" s="55"/>
      <c r="K102" s="55"/>
      <c r="L102" s="55"/>
    </row>
    <row r="103" spans="1:12" ht="9.75" customHeight="1">
      <c r="A103" s="2"/>
      <c r="B103" s="2">
        <v>85</v>
      </c>
      <c r="C103" s="55">
        <v>22499</v>
      </c>
      <c r="D103" s="55"/>
      <c r="E103" s="55"/>
      <c r="F103" s="55"/>
      <c r="G103" s="55"/>
      <c r="H103" s="55"/>
      <c r="I103" s="55"/>
      <c r="J103" s="55"/>
      <c r="K103" s="55"/>
      <c r="L103" s="55"/>
    </row>
    <row r="104" spans="1:12" ht="9.75" customHeight="1">
      <c r="A104" s="2"/>
      <c r="B104" s="2">
        <v>86</v>
      </c>
      <c r="C104" s="55">
        <v>23484</v>
      </c>
      <c r="D104" s="55"/>
      <c r="E104" s="55"/>
      <c r="F104" s="55"/>
      <c r="G104" s="55"/>
      <c r="H104" s="55"/>
      <c r="I104" s="55"/>
      <c r="J104" s="55"/>
      <c r="K104" s="55"/>
      <c r="L104" s="55"/>
    </row>
    <row r="105" spans="1:12" ht="9.75" customHeight="1">
      <c r="A105" s="2"/>
      <c r="B105" s="2">
        <v>87</v>
      </c>
      <c r="C105" s="55">
        <v>23351</v>
      </c>
      <c r="D105" s="55"/>
      <c r="E105" s="55"/>
      <c r="F105" s="55"/>
      <c r="G105" s="55"/>
      <c r="H105" s="55"/>
      <c r="I105" s="55"/>
      <c r="J105" s="55"/>
      <c r="K105" s="55"/>
      <c r="L105" s="55"/>
    </row>
    <row r="106" spans="1:12" ht="9.75" customHeight="1">
      <c r="A106" s="2"/>
      <c r="B106" s="2">
        <v>88</v>
      </c>
      <c r="C106" s="55">
        <v>22793</v>
      </c>
      <c r="H106" s="55"/>
      <c r="I106" s="55"/>
      <c r="J106" s="55"/>
      <c r="K106" s="55"/>
      <c r="L106" s="55"/>
    </row>
    <row r="107" spans="1:12" ht="9.75" customHeight="1">
      <c r="A107" s="2"/>
      <c r="B107" s="2">
        <v>89</v>
      </c>
      <c r="C107" s="55">
        <v>23414</v>
      </c>
      <c r="D107" s="55"/>
      <c r="E107" s="55"/>
      <c r="F107" s="55"/>
      <c r="G107" s="55"/>
      <c r="H107" s="55"/>
      <c r="I107" s="55"/>
      <c r="J107" s="55"/>
      <c r="K107" s="55"/>
      <c r="L107" s="55"/>
    </row>
    <row r="108" spans="1:12" ht="9.75" customHeight="1">
      <c r="A108" s="2"/>
      <c r="B108" s="2">
        <v>90</v>
      </c>
      <c r="C108" s="55">
        <v>22707</v>
      </c>
      <c r="D108" s="55"/>
      <c r="E108" s="55"/>
      <c r="F108" s="55"/>
      <c r="G108" s="55"/>
      <c r="H108" s="55"/>
      <c r="I108" s="55"/>
      <c r="J108" s="55"/>
      <c r="K108" s="55"/>
      <c r="L108" s="55"/>
    </row>
    <row r="109" spans="1:12" ht="9.75" customHeight="1">
      <c r="A109" s="2"/>
      <c r="B109" s="2">
        <v>91</v>
      </c>
      <c r="C109" s="55">
        <v>23278</v>
      </c>
      <c r="D109" s="55"/>
      <c r="E109" s="55"/>
      <c r="F109" s="55"/>
      <c r="G109" s="55"/>
      <c r="H109" s="55"/>
      <c r="I109" s="55"/>
      <c r="J109" s="55"/>
      <c r="K109" s="55"/>
      <c r="L109" s="55"/>
    </row>
    <row r="110" spans="1:12" ht="9.75" customHeight="1">
      <c r="A110" s="2"/>
      <c r="B110" s="2">
        <v>92</v>
      </c>
      <c r="C110" s="55">
        <v>23239</v>
      </c>
      <c r="D110" s="55"/>
      <c r="E110" s="55"/>
      <c r="F110" s="55"/>
      <c r="G110" s="55"/>
      <c r="H110" s="55"/>
      <c r="I110" s="55"/>
      <c r="J110" s="55"/>
      <c r="K110" s="55"/>
      <c r="L110" s="55"/>
    </row>
    <row r="111" spans="1:3" ht="9.75" customHeight="1">
      <c r="A111" s="2"/>
      <c r="B111" s="2">
        <v>93</v>
      </c>
      <c r="C111" s="55">
        <v>23510</v>
      </c>
    </row>
    <row r="112" spans="3:12" ht="9.75" customHeight="1">
      <c r="C112" s="54">
        <f>SUM(C100:C111)</f>
        <v>277370</v>
      </c>
      <c r="D112" s="57">
        <f>I99+C112</f>
        <v>314391</v>
      </c>
      <c r="E112" s="55">
        <v>290075</v>
      </c>
      <c r="F112" s="55">
        <v>17140</v>
      </c>
      <c r="G112" s="55">
        <f>E112-F112</f>
        <v>272935</v>
      </c>
      <c r="H112" s="55">
        <f>H99+G112</f>
        <v>1950381</v>
      </c>
      <c r="I112" s="55">
        <f>D112-E112</f>
        <v>24316</v>
      </c>
      <c r="J112" s="55"/>
      <c r="K112" s="55"/>
      <c r="L112" s="55"/>
    </row>
    <row r="113" spans="1:12" ht="9.75" customHeight="1">
      <c r="A113" s="40">
        <v>36100</v>
      </c>
      <c r="B113" s="195">
        <v>94</v>
      </c>
      <c r="C113" s="197">
        <v>22159</v>
      </c>
      <c r="K113" s="55"/>
      <c r="L113" s="55"/>
    </row>
    <row r="114" spans="1:12" ht="9.75" customHeight="1">
      <c r="A114" s="2"/>
      <c r="B114" s="195">
        <v>95</v>
      </c>
      <c r="C114" s="198">
        <v>23128</v>
      </c>
      <c r="D114" s="55"/>
      <c r="E114" s="55"/>
      <c r="F114" s="55"/>
      <c r="G114" s="55"/>
      <c r="H114" s="55"/>
      <c r="I114" s="55"/>
      <c r="J114" s="55"/>
      <c r="K114" s="55"/>
      <c r="L114" s="55"/>
    </row>
    <row r="115" spans="1:12" ht="9.75" customHeight="1">
      <c r="A115" s="2"/>
      <c r="B115" s="195">
        <v>96</v>
      </c>
      <c r="C115" s="198">
        <v>22974</v>
      </c>
      <c r="D115" s="55"/>
      <c r="F115" s="55"/>
      <c r="G115" s="55"/>
      <c r="H115" s="55"/>
      <c r="I115" s="55"/>
      <c r="J115" s="55"/>
      <c r="K115" s="55"/>
      <c r="L115" s="55"/>
    </row>
    <row r="116" spans="1:12" ht="9.75" customHeight="1">
      <c r="A116" s="2"/>
      <c r="B116" s="195">
        <v>97</v>
      </c>
      <c r="C116" s="198">
        <v>23556</v>
      </c>
      <c r="D116" s="55"/>
      <c r="E116" s="55"/>
      <c r="F116" s="55"/>
      <c r="G116" s="55"/>
      <c r="H116" s="55"/>
      <c r="I116" s="55"/>
      <c r="J116" s="55"/>
      <c r="K116" s="55"/>
      <c r="L116" s="55"/>
    </row>
    <row r="117" spans="1:12" ht="9.75" customHeight="1">
      <c r="A117" s="2"/>
      <c r="B117" s="195">
        <v>98</v>
      </c>
      <c r="C117" s="198">
        <v>23619</v>
      </c>
      <c r="D117" s="55"/>
      <c r="E117" s="55"/>
      <c r="F117" s="55"/>
      <c r="G117" s="55"/>
      <c r="H117" s="55"/>
      <c r="I117" s="55"/>
      <c r="J117" s="55"/>
      <c r="K117" s="55"/>
      <c r="L117" s="55"/>
    </row>
    <row r="118" spans="1:12" ht="9.75" customHeight="1">
      <c r="A118" s="2"/>
      <c r="B118" s="195">
        <v>99</v>
      </c>
      <c r="C118" s="198">
        <v>23286</v>
      </c>
      <c r="D118" s="55"/>
      <c r="E118" s="55"/>
      <c r="F118" s="55"/>
      <c r="G118" s="55"/>
      <c r="H118" s="55"/>
      <c r="I118" s="55"/>
      <c r="J118" s="55"/>
      <c r="K118" s="55"/>
      <c r="L118" s="55"/>
    </row>
    <row r="119" spans="1:12" ht="9.75" customHeight="1">
      <c r="A119" s="2"/>
      <c r="B119" s="195">
        <v>100</v>
      </c>
      <c r="C119" s="198">
        <v>23289</v>
      </c>
      <c r="D119" s="55"/>
      <c r="E119" s="55"/>
      <c r="F119" s="55"/>
      <c r="G119" s="55"/>
      <c r="H119" s="55"/>
      <c r="I119" s="55"/>
      <c r="J119" s="55"/>
      <c r="K119" s="55"/>
      <c r="L119" s="55"/>
    </row>
    <row r="120" spans="1:12" ht="9.75" customHeight="1">
      <c r="A120" s="2"/>
      <c r="B120" s="196">
        <v>101</v>
      </c>
      <c r="C120" s="197">
        <v>23439</v>
      </c>
      <c r="K120" s="55"/>
      <c r="L120" s="55"/>
    </row>
    <row r="121" spans="1:3" ht="9.75" customHeight="1">
      <c r="A121" s="2"/>
      <c r="B121" s="196">
        <v>102</v>
      </c>
      <c r="C121" s="197">
        <v>23154</v>
      </c>
    </row>
    <row r="122" spans="1:12" ht="9.75" customHeight="1">
      <c r="A122" s="2"/>
      <c r="B122" s="196">
        <v>103</v>
      </c>
      <c r="C122" s="197">
        <v>23025</v>
      </c>
      <c r="K122" s="55"/>
      <c r="L122" s="55"/>
    </row>
    <row r="123" spans="1:12" ht="9.75" customHeight="1">
      <c r="A123" s="2"/>
      <c r="B123" s="195">
        <v>104</v>
      </c>
      <c r="C123" s="198">
        <v>22787</v>
      </c>
      <c r="D123" s="55"/>
      <c r="E123" s="55"/>
      <c r="F123" s="55"/>
      <c r="H123" s="55"/>
      <c r="I123" s="55"/>
      <c r="J123" s="55"/>
      <c r="K123" s="55"/>
      <c r="L123" s="55"/>
    </row>
    <row r="124" spans="3:9" ht="9.75" customHeight="1">
      <c r="C124" s="199">
        <f>SUM(C113:C123)</f>
        <v>254416</v>
      </c>
      <c r="D124" s="57">
        <f>I112+C124</f>
        <v>278732</v>
      </c>
      <c r="E124" s="55">
        <v>275926</v>
      </c>
      <c r="F124" s="2">
        <v>21612</v>
      </c>
      <c r="G124" s="219">
        <f>E124-F124</f>
        <v>254314</v>
      </c>
      <c r="H124" s="55">
        <f>H112+G124</f>
        <v>2204695</v>
      </c>
      <c r="I124" s="55">
        <f>D124-E124</f>
        <v>2806</v>
      </c>
    </row>
    <row r="125" spans="1:3" ht="9.75" customHeight="1">
      <c r="A125" s="40">
        <v>34668</v>
      </c>
      <c r="B125" s="195">
        <v>105</v>
      </c>
      <c r="C125" s="55">
        <v>23282</v>
      </c>
    </row>
    <row r="126" spans="1:3" ht="9.75" customHeight="1">
      <c r="A126" s="2"/>
      <c r="B126" s="195">
        <v>106</v>
      </c>
      <c r="C126" s="55">
        <v>22855</v>
      </c>
    </row>
    <row r="127" spans="1:3" ht="9.75" customHeight="1">
      <c r="A127" s="2"/>
      <c r="B127" s="2">
        <v>107</v>
      </c>
      <c r="C127" s="55">
        <v>22465</v>
      </c>
    </row>
    <row r="128" spans="1:12" ht="9.75" customHeight="1">
      <c r="A128" s="2"/>
      <c r="B128" s="195">
        <v>108</v>
      </c>
      <c r="C128" s="55">
        <v>22652</v>
      </c>
      <c r="D128" s="55"/>
      <c r="E128" s="55"/>
      <c r="F128" s="55"/>
      <c r="G128" s="55"/>
      <c r="H128" s="55"/>
      <c r="I128" s="55"/>
      <c r="J128" s="55"/>
      <c r="K128" s="55"/>
      <c r="L128" s="55"/>
    </row>
    <row r="129" spans="1:12" ht="9.75" customHeight="1">
      <c r="A129" s="2"/>
      <c r="B129" s="195">
        <v>109</v>
      </c>
      <c r="C129" s="55">
        <v>22476</v>
      </c>
      <c r="D129" s="55"/>
      <c r="E129" s="55"/>
      <c r="F129" s="55"/>
      <c r="G129" s="55"/>
      <c r="H129" s="55"/>
      <c r="I129" s="55"/>
      <c r="J129" s="55"/>
      <c r="K129" s="55"/>
      <c r="L129" s="55"/>
    </row>
    <row r="130" spans="1:3" ht="9.75" customHeight="1">
      <c r="A130" s="2"/>
      <c r="B130" s="2">
        <v>110</v>
      </c>
      <c r="C130" s="55">
        <v>22965</v>
      </c>
    </row>
    <row r="131" spans="3:10" ht="9.75" customHeight="1">
      <c r="C131" s="199">
        <f>SUM(C125:C130)</f>
        <v>136695</v>
      </c>
      <c r="D131" s="57">
        <f>I124+C131</f>
        <v>139501</v>
      </c>
      <c r="E131" s="55">
        <v>45602</v>
      </c>
      <c r="F131" s="2">
        <v>12419</v>
      </c>
      <c r="G131" s="219">
        <f>E131-F131</f>
        <v>33183</v>
      </c>
      <c r="H131" s="55">
        <f>H124+G131</f>
        <v>2237878</v>
      </c>
      <c r="I131" s="55">
        <f>D131-E131</f>
        <v>93899</v>
      </c>
      <c r="J131" s="41">
        <v>93501</v>
      </c>
    </row>
    <row r="132" spans="1:12" ht="9.75" customHeight="1">
      <c r="A132" s="46" t="s">
        <v>140</v>
      </c>
      <c r="B132" s="195"/>
      <c r="C132" s="54">
        <f>C85+C99+C112+C124+C131</f>
        <v>2525195</v>
      </c>
      <c r="D132" s="55"/>
      <c r="E132" s="54">
        <f>E85+E99+E112+E124+E131</f>
        <v>2431296</v>
      </c>
      <c r="F132" s="54">
        <f>F85+F99+F112+F124+F131</f>
        <v>193418</v>
      </c>
      <c r="G132" s="54">
        <f>E132-F132</f>
        <v>2237878</v>
      </c>
      <c r="H132" s="55"/>
      <c r="I132" s="54">
        <f>C132-E132</f>
        <v>93899</v>
      </c>
      <c r="J132" s="55">
        <v>93093</v>
      </c>
      <c r="K132" s="55" t="s">
        <v>1142</v>
      </c>
      <c r="L132" s="55"/>
    </row>
    <row r="133" spans="2:12" ht="9.75" customHeight="1">
      <c r="B133" s="196"/>
      <c r="C133" s="2" t="s">
        <v>245</v>
      </c>
      <c r="D133" s="2"/>
      <c r="E133" s="2" t="s">
        <v>246</v>
      </c>
      <c r="F133" s="2" t="s">
        <v>247</v>
      </c>
      <c r="G133" s="2" t="s">
        <v>248</v>
      </c>
      <c r="H133" s="2"/>
      <c r="I133" s="2" t="s">
        <v>249</v>
      </c>
      <c r="J133" s="41">
        <f>J131-J132</f>
        <v>408</v>
      </c>
      <c r="K133" s="55" t="s">
        <v>1143</v>
      </c>
      <c r="L133" s="55"/>
    </row>
    <row r="134" spans="2:12" ht="9.75" customHeight="1">
      <c r="B134" s="195"/>
      <c r="C134" s="55" t="s">
        <v>250</v>
      </c>
      <c r="D134" s="55"/>
      <c r="E134" s="55"/>
      <c r="F134" s="55"/>
      <c r="G134" s="55" t="s">
        <v>251</v>
      </c>
      <c r="H134" s="55"/>
      <c r="I134" s="55"/>
      <c r="J134" s="55"/>
      <c r="K134" s="55" t="s">
        <v>1144</v>
      </c>
      <c r="L134" s="55"/>
    </row>
    <row r="135" spans="1:17" s="3" customFormat="1" ht="43.5" customHeight="1">
      <c r="A135" s="3" t="s">
        <v>111</v>
      </c>
      <c r="B135" s="38" t="s">
        <v>112</v>
      </c>
      <c r="C135" s="38" t="s">
        <v>113</v>
      </c>
      <c r="D135" s="38" t="s">
        <v>114</v>
      </c>
      <c r="E135" s="39" t="s">
        <v>115</v>
      </c>
      <c r="F135" s="38" t="s">
        <v>116</v>
      </c>
      <c r="G135" s="38" t="s">
        <v>117</v>
      </c>
      <c r="H135" s="38" t="s">
        <v>118</v>
      </c>
      <c r="I135" s="3" t="s">
        <v>119</v>
      </c>
      <c r="J135" s="510" t="s">
        <v>120</v>
      </c>
      <c r="K135" s="38" t="s">
        <v>986</v>
      </c>
      <c r="L135" s="38" t="s">
        <v>122</v>
      </c>
      <c r="Q135" s="38"/>
    </row>
    <row r="136" spans="1:12" ht="11.25">
      <c r="A136" s="40"/>
      <c r="B136" s="55" t="s">
        <v>984</v>
      </c>
      <c r="C136" s="55"/>
      <c r="D136" s="55">
        <v>22000</v>
      </c>
      <c r="E136" s="55" t="s">
        <v>985</v>
      </c>
      <c r="F136" s="55"/>
      <c r="G136" s="55"/>
      <c r="H136" s="55"/>
      <c r="I136" s="55" t="s">
        <v>987</v>
      </c>
      <c r="J136" s="55"/>
      <c r="K136" s="55"/>
      <c r="L136" s="55"/>
    </row>
    <row r="137" spans="2:12" ht="11.25">
      <c r="B137" s="55"/>
      <c r="C137" s="55"/>
      <c r="D137" s="415">
        <v>54900</v>
      </c>
      <c r="E137" s="55" t="s">
        <v>990</v>
      </c>
      <c r="F137" s="55"/>
      <c r="G137" s="55" t="s">
        <v>1145</v>
      </c>
      <c r="H137" s="55"/>
      <c r="I137" s="55" t="s">
        <v>988</v>
      </c>
      <c r="J137" s="55"/>
      <c r="K137" s="55"/>
      <c r="L137" s="55" t="s">
        <v>989</v>
      </c>
    </row>
    <row r="138" spans="2:12" ht="11.25">
      <c r="B138" s="55"/>
      <c r="C138" s="55"/>
      <c r="D138" s="54">
        <f>SUM(D136:D137)</f>
        <v>76900</v>
      </c>
      <c r="E138" s="55">
        <f>D138</f>
        <v>76900</v>
      </c>
      <c r="F138" s="55">
        <v>12172</v>
      </c>
      <c r="G138" s="55">
        <f>E138-F138</f>
        <v>64728</v>
      </c>
      <c r="H138" s="55"/>
      <c r="I138" s="55">
        <v>0</v>
      </c>
      <c r="J138" s="55"/>
      <c r="K138" s="55">
        <f>G138-H138</f>
        <v>64728</v>
      </c>
      <c r="L138" s="55">
        <v>35616</v>
      </c>
    </row>
    <row r="139" spans="2:12" ht="11.25">
      <c r="B139" s="55"/>
      <c r="C139" s="55"/>
      <c r="D139" s="55"/>
      <c r="E139" s="55"/>
      <c r="F139" s="55"/>
      <c r="G139" s="55"/>
      <c r="H139" s="55"/>
      <c r="I139" s="55"/>
      <c r="J139" s="55"/>
      <c r="K139" s="55"/>
      <c r="L139" s="511">
        <f>G138</f>
        <v>64728</v>
      </c>
    </row>
    <row r="140" spans="2:12" ht="11.25">
      <c r="B140" s="55"/>
      <c r="C140" s="415"/>
      <c r="D140" s="415"/>
      <c r="E140" s="415"/>
      <c r="F140" s="415"/>
      <c r="G140" s="415"/>
      <c r="H140" s="415"/>
      <c r="I140" s="415"/>
      <c r="J140" s="415"/>
      <c r="K140" s="415"/>
      <c r="L140" s="415">
        <f>SUM(L138:L139)</f>
        <v>100344</v>
      </c>
    </row>
    <row r="141" spans="1:3" ht="11.25">
      <c r="A141" s="40">
        <v>34699</v>
      </c>
      <c r="B141" s="195" t="s">
        <v>999</v>
      </c>
      <c r="C141" s="55">
        <v>22462</v>
      </c>
    </row>
    <row r="142" spans="1:3" ht="11.25">
      <c r="A142" s="2"/>
      <c r="B142" s="195" t="s">
        <v>1000</v>
      </c>
      <c r="C142" s="55">
        <v>22974</v>
      </c>
    </row>
    <row r="143" spans="1:3" ht="11.25">
      <c r="A143" s="2"/>
      <c r="B143" s="195" t="s">
        <v>1001</v>
      </c>
      <c r="C143" s="55">
        <v>22249</v>
      </c>
    </row>
    <row r="144" spans="1:12" ht="11.25">
      <c r="A144" s="2"/>
      <c r="B144" s="195" t="s">
        <v>1002</v>
      </c>
      <c r="C144" s="55">
        <v>22883</v>
      </c>
      <c r="D144" s="55"/>
      <c r="E144" s="55"/>
      <c r="F144" s="55"/>
      <c r="G144" s="55"/>
      <c r="H144" s="55"/>
      <c r="I144" s="55"/>
      <c r="J144" s="55"/>
      <c r="K144" s="55"/>
      <c r="L144" s="55"/>
    </row>
    <row r="145" spans="3:10" ht="11.25">
      <c r="C145" s="199">
        <f>SUM(C141:C144)</f>
        <v>90568</v>
      </c>
      <c r="D145" s="57">
        <f>I140+C145</f>
        <v>90568</v>
      </c>
      <c r="E145" s="55">
        <f>35940+31136+34600</f>
        <v>101676</v>
      </c>
      <c r="F145" s="2">
        <v>12419</v>
      </c>
      <c r="G145" s="219">
        <f>E145-F145</f>
        <v>89257</v>
      </c>
      <c r="H145" s="55">
        <f>H140+G145</f>
        <v>89257</v>
      </c>
      <c r="I145" s="55">
        <f>D145-E145</f>
        <v>-11108</v>
      </c>
      <c r="J145" s="41">
        <v>93501</v>
      </c>
    </row>
    <row r="146" spans="1:12" ht="11.25">
      <c r="A146" s="40">
        <v>34730</v>
      </c>
      <c r="B146" s="55" t="s">
        <v>1003</v>
      </c>
      <c r="C146" s="55"/>
      <c r="D146" s="55"/>
      <c r="E146" s="55"/>
      <c r="F146" s="55"/>
      <c r="G146" s="55"/>
      <c r="H146" s="55"/>
      <c r="I146" s="55"/>
      <c r="J146" s="55"/>
      <c r="K146" s="55"/>
      <c r="L146" s="55"/>
    </row>
    <row r="147" spans="2:12" ht="11.25">
      <c r="B147" s="55"/>
      <c r="C147" s="55"/>
      <c r="D147" s="55"/>
      <c r="E147" s="55"/>
      <c r="F147" s="55"/>
      <c r="G147" s="55"/>
      <c r="H147" s="55"/>
      <c r="I147" s="55"/>
      <c r="J147" s="55"/>
      <c r="K147" s="55"/>
      <c r="L147" s="55"/>
    </row>
    <row r="148" spans="2:12" ht="11.25">
      <c r="B148" s="55"/>
      <c r="C148" s="55"/>
      <c r="D148" s="55"/>
      <c r="E148" s="55"/>
      <c r="F148" s="55"/>
      <c r="G148" s="55"/>
      <c r="H148" s="55"/>
      <c r="I148" s="55"/>
      <c r="J148" s="55"/>
      <c r="K148" s="55"/>
      <c r="L148" s="55"/>
    </row>
    <row r="149" spans="2:12" ht="11.25">
      <c r="B149" s="55"/>
      <c r="C149" s="55"/>
      <c r="D149" s="55"/>
      <c r="E149" s="55"/>
      <c r="F149" s="55"/>
      <c r="G149" s="55"/>
      <c r="H149" s="55"/>
      <c r="I149" s="55"/>
      <c r="J149" s="55"/>
      <c r="K149" s="55"/>
      <c r="L149" s="55"/>
    </row>
    <row r="150" spans="2:12" ht="11.25">
      <c r="B150" s="55"/>
      <c r="C150" s="55"/>
      <c r="D150" s="55"/>
      <c r="E150" s="55"/>
      <c r="F150" s="55"/>
      <c r="G150" s="55"/>
      <c r="H150" s="55"/>
      <c r="I150" s="55"/>
      <c r="J150" s="55"/>
      <c r="K150" s="55"/>
      <c r="L150" s="55"/>
    </row>
    <row r="151" spans="2:12" ht="11.25">
      <c r="B151" s="55"/>
      <c r="C151" s="55"/>
      <c r="D151" s="55"/>
      <c r="E151" s="55"/>
      <c r="F151" s="55"/>
      <c r="G151" s="55"/>
      <c r="H151" s="55"/>
      <c r="I151" s="55"/>
      <c r="J151" s="55"/>
      <c r="K151" s="55"/>
      <c r="L151" s="55"/>
    </row>
    <row r="152" spans="2:12" ht="11.25">
      <c r="B152" s="55"/>
      <c r="C152" s="55"/>
      <c r="D152" s="55"/>
      <c r="E152" s="55"/>
      <c r="F152" s="55"/>
      <c r="G152" s="55"/>
      <c r="H152" s="55"/>
      <c r="I152" s="55"/>
      <c r="J152" s="55"/>
      <c r="K152" s="55"/>
      <c r="L152" s="55"/>
    </row>
    <row r="153" spans="2:12" ht="11.25">
      <c r="B153" s="55"/>
      <c r="C153" s="55"/>
      <c r="D153" s="55"/>
      <c r="E153" s="55"/>
      <c r="F153" s="55"/>
      <c r="G153" s="55"/>
      <c r="H153" s="55"/>
      <c r="I153" s="55"/>
      <c r="J153" s="55"/>
      <c r="K153" s="55"/>
      <c r="L153" s="55"/>
    </row>
    <row r="154" spans="2:12" ht="11.25">
      <c r="B154" s="55"/>
      <c r="C154" s="55"/>
      <c r="D154" s="55"/>
      <c r="E154" s="55"/>
      <c r="F154" s="55"/>
      <c r="G154" s="55"/>
      <c r="H154" s="55"/>
      <c r="I154" s="55"/>
      <c r="J154" s="55"/>
      <c r="K154" s="55"/>
      <c r="L154" s="55"/>
    </row>
    <row r="155" spans="2:12" ht="11.25">
      <c r="B155" s="55"/>
      <c r="C155" s="55"/>
      <c r="D155" s="55"/>
      <c r="E155" s="55"/>
      <c r="F155" s="55"/>
      <c r="G155" s="55"/>
      <c r="H155" s="55"/>
      <c r="I155" s="55"/>
      <c r="J155" s="55"/>
      <c r="K155" s="55"/>
      <c r="L155" s="55"/>
    </row>
    <row r="156" spans="2:12" ht="11.25">
      <c r="B156" s="55"/>
      <c r="C156" s="55"/>
      <c r="D156" s="55"/>
      <c r="E156" s="55"/>
      <c r="F156" s="55"/>
      <c r="G156" s="55"/>
      <c r="H156" s="55"/>
      <c r="I156" s="55"/>
      <c r="J156" s="55"/>
      <c r="K156" s="55"/>
      <c r="L156" s="55"/>
    </row>
    <row r="157" spans="2:12" ht="11.25">
      <c r="B157" s="55"/>
      <c r="C157" s="55"/>
      <c r="D157" s="55"/>
      <c r="E157" s="55"/>
      <c r="F157" s="55"/>
      <c r="G157" s="55"/>
      <c r="H157" s="55"/>
      <c r="I157" s="55"/>
      <c r="J157" s="55"/>
      <c r="K157" s="55"/>
      <c r="L157" s="55"/>
    </row>
    <row r="158" spans="2:12" ht="11.25">
      <c r="B158" s="55"/>
      <c r="C158" s="55"/>
      <c r="D158" s="55"/>
      <c r="E158" s="55"/>
      <c r="F158" s="55"/>
      <c r="G158" s="55"/>
      <c r="H158" s="55"/>
      <c r="I158" s="55"/>
      <c r="J158" s="55"/>
      <c r="K158" s="55"/>
      <c r="L158" s="55"/>
    </row>
    <row r="159" spans="2:12" ht="11.25">
      <c r="B159" s="55"/>
      <c r="C159" s="55"/>
      <c r="D159" s="55"/>
      <c r="E159" s="55"/>
      <c r="F159" s="55"/>
      <c r="G159" s="55"/>
      <c r="H159" s="55"/>
      <c r="I159" s="55"/>
      <c r="J159" s="55"/>
      <c r="K159" s="55"/>
      <c r="L159" s="55"/>
    </row>
    <row r="160" spans="2:12" ht="11.25">
      <c r="B160" s="55"/>
      <c r="C160" s="55"/>
      <c r="D160" s="55"/>
      <c r="E160" s="55"/>
      <c r="F160" s="55"/>
      <c r="G160" s="55"/>
      <c r="H160" s="55"/>
      <c r="I160" s="55"/>
      <c r="J160" s="55"/>
      <c r="K160" s="55"/>
      <c r="L160" s="55"/>
    </row>
    <row r="161" spans="2:12" ht="11.25">
      <c r="B161" s="55"/>
      <c r="C161" s="55"/>
      <c r="D161" s="55"/>
      <c r="E161" s="55"/>
      <c r="F161" s="55"/>
      <c r="G161" s="55"/>
      <c r="H161" s="55"/>
      <c r="I161" s="55"/>
      <c r="J161" s="55"/>
      <c r="K161" s="55"/>
      <c r="L161" s="55"/>
    </row>
    <row r="162" spans="2:12" ht="11.25">
      <c r="B162" s="55"/>
      <c r="C162" s="55"/>
      <c r="D162" s="55"/>
      <c r="E162" s="55"/>
      <c r="F162" s="55"/>
      <c r="G162" s="55"/>
      <c r="H162" s="55"/>
      <c r="I162" s="55"/>
      <c r="J162" s="55"/>
      <c r="K162" s="55"/>
      <c r="L162" s="55"/>
    </row>
    <row r="163" spans="2:12" ht="11.25">
      <c r="B163" s="55"/>
      <c r="C163" s="55"/>
      <c r="D163" s="55"/>
      <c r="E163" s="55"/>
      <c r="F163" s="55"/>
      <c r="G163" s="55"/>
      <c r="H163" s="55"/>
      <c r="I163" s="55"/>
      <c r="J163" s="55"/>
      <c r="K163" s="55"/>
      <c r="L163" s="55"/>
    </row>
    <row r="164" spans="2:12" ht="11.25">
      <c r="B164" s="55"/>
      <c r="C164" s="55"/>
      <c r="D164" s="55"/>
      <c r="E164" s="55"/>
      <c r="F164" s="55"/>
      <c r="G164" s="55"/>
      <c r="H164" s="55"/>
      <c r="I164" s="55"/>
      <c r="J164" s="55"/>
      <c r="K164" s="55"/>
      <c r="L164" s="55"/>
    </row>
    <row r="165" spans="2:12" ht="11.25">
      <c r="B165" s="55"/>
      <c r="C165" s="55"/>
      <c r="D165" s="55"/>
      <c r="E165" s="55"/>
      <c r="F165" s="55"/>
      <c r="G165" s="55"/>
      <c r="H165" s="55"/>
      <c r="I165" s="55"/>
      <c r="J165" s="55"/>
      <c r="K165" s="55"/>
      <c r="L165" s="55"/>
    </row>
    <row r="166" spans="2:12" ht="11.25">
      <c r="B166" s="55"/>
      <c r="C166" s="55"/>
      <c r="D166" s="55"/>
      <c r="E166" s="55"/>
      <c r="F166" s="55"/>
      <c r="G166" s="55"/>
      <c r="H166" s="55"/>
      <c r="I166" s="55"/>
      <c r="J166" s="55"/>
      <c r="K166" s="55"/>
      <c r="L166" s="55"/>
    </row>
    <row r="167" spans="2:12" ht="11.25">
      <c r="B167" s="55"/>
      <c r="C167" s="55"/>
      <c r="D167" s="55"/>
      <c r="E167" s="55"/>
      <c r="F167" s="55"/>
      <c r="G167" s="55"/>
      <c r="H167" s="55"/>
      <c r="I167" s="55"/>
      <c r="J167" s="55"/>
      <c r="K167" s="55"/>
      <c r="L167" s="55"/>
    </row>
    <row r="168" spans="2:12" ht="11.25">
      <c r="B168" s="55"/>
      <c r="C168" s="55"/>
      <c r="D168" s="55"/>
      <c r="E168" s="55"/>
      <c r="F168" s="55"/>
      <c r="G168" s="55"/>
      <c r="H168" s="55"/>
      <c r="I168" s="55"/>
      <c r="J168" s="55"/>
      <c r="K168" s="55"/>
      <c r="L168" s="55"/>
    </row>
  </sheetData>
  <printOptions/>
  <pageMargins left="0.75" right="0.75" top="1" bottom="1" header="0.4921259845" footer="0.4921259845"/>
  <pageSetup horizontalDpi="300" verticalDpi="300" orientation="landscape" paperSize="9" r:id="rId1"/>
  <headerFooter alignWithMargins="0">
    <oddHeader>&amp;LKitenge Somwé&amp;C&amp;A&amp;R&amp;D</oddHeader>
    <oddFooter>&amp;C&amp;F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Feuil121"/>
  <dimension ref="A1:U51"/>
  <sheetViews>
    <sheetView showZeros="0" workbookViewId="0" topLeftCell="A25">
      <selection activeCell="I53" sqref="I53"/>
    </sheetView>
  </sheetViews>
  <sheetFormatPr defaultColWidth="11.421875" defaultRowHeight="9.75" customHeight="1"/>
  <cols>
    <col min="1" max="1" width="5.28125" style="2" customWidth="1"/>
    <col min="2" max="2" width="6.140625" style="0" customWidth="1"/>
    <col min="3" max="3" width="6.7109375" style="2" customWidth="1"/>
    <col min="4" max="4" width="5.8515625" style="2" customWidth="1"/>
    <col min="5" max="5" width="6.7109375" style="2" customWidth="1"/>
    <col min="6" max="6" width="6.140625" style="2" customWidth="1"/>
    <col min="7" max="7" width="6.7109375" style="2" customWidth="1"/>
    <col min="8" max="8" width="6.00390625" style="2" customWidth="1"/>
    <col min="9" max="12" width="6.7109375" style="2" customWidth="1"/>
    <col min="13" max="14" width="6.421875" style="2" customWidth="1"/>
    <col min="15" max="16" width="6.7109375" style="2" customWidth="1"/>
    <col min="17" max="17" width="5.7109375" style="2" customWidth="1"/>
    <col min="18" max="18" width="5.140625" style="2" customWidth="1"/>
    <col min="19" max="20" width="6.7109375" style="2" customWidth="1"/>
    <col min="21" max="21" width="9.00390625" style="2" customWidth="1"/>
    <col min="22" max="16384" width="6.7109375" style="2" customWidth="1"/>
  </cols>
  <sheetData>
    <row r="1" spans="1:21" ht="35.25" customHeight="1">
      <c r="A1" s="34" t="s">
        <v>89</v>
      </c>
      <c r="B1" s="33" t="s">
        <v>272</v>
      </c>
      <c r="C1" s="33" t="s">
        <v>72</v>
      </c>
      <c r="D1" s="33" t="s">
        <v>73</v>
      </c>
      <c r="E1" s="33" t="s">
        <v>74</v>
      </c>
      <c r="F1" s="33" t="s">
        <v>75</v>
      </c>
      <c r="G1" s="33" t="s">
        <v>76</v>
      </c>
      <c r="H1" s="33" t="s">
        <v>77</v>
      </c>
      <c r="I1" s="33" t="s">
        <v>78</v>
      </c>
      <c r="J1" s="33" t="s">
        <v>79</v>
      </c>
      <c r="K1" s="33" t="s">
        <v>80</v>
      </c>
      <c r="L1" s="33" t="s">
        <v>81</v>
      </c>
      <c r="M1" s="33" t="s">
        <v>82</v>
      </c>
      <c r="N1" s="33" t="s">
        <v>962</v>
      </c>
      <c r="O1" s="33" t="s">
        <v>83</v>
      </c>
      <c r="P1" s="33" t="s">
        <v>84</v>
      </c>
      <c r="Q1" s="33" t="s">
        <v>85</v>
      </c>
      <c r="R1" s="33" t="s">
        <v>86</v>
      </c>
      <c r="S1" s="33" t="s">
        <v>87</v>
      </c>
      <c r="T1" s="32" t="s">
        <v>90</v>
      </c>
      <c r="U1" s="34" t="s">
        <v>88</v>
      </c>
    </row>
    <row r="2" spans="1:19" ht="9.75" customHeight="1">
      <c r="A2" s="3"/>
      <c r="D2" s="2">
        <v>0</v>
      </c>
      <c r="E2" s="2">
        <v>0</v>
      </c>
      <c r="I2" s="2">
        <v>0</v>
      </c>
      <c r="J2" s="2">
        <v>0</v>
      </c>
      <c r="K2" s="2"/>
      <c r="L2" s="2">
        <v>0</v>
      </c>
      <c r="M2" s="2">
        <v>0</v>
      </c>
      <c r="N2" s="5"/>
      <c r="O2" s="2">
        <v>0</v>
      </c>
      <c r="P2" s="2">
        <v>0</v>
      </c>
      <c r="Q2" s="2">
        <v>0</v>
      </c>
      <c r="R2" s="2">
        <v>0</v>
      </c>
      <c r="S2" s="2">
        <v>0</v>
      </c>
    </row>
    <row r="3" spans="9:21" ht="9.75" customHeight="1">
      <c r="I3" s="2">
        <v>0</v>
      </c>
      <c r="J3" s="2">
        <v>0</v>
      </c>
      <c r="N3" s="5"/>
      <c r="O3" s="2">
        <v>0</v>
      </c>
      <c r="S3" s="2">
        <v>0</v>
      </c>
      <c r="T3" s="2"/>
      <c r="U3" s="3" t="e">
        <f>U48</f>
        <v>#REF!</v>
      </c>
    </row>
    <row r="4" spans="14:21" ht="9.75" customHeight="1">
      <c r="N4" s="5"/>
      <c r="U4" s="3"/>
    </row>
    <row r="5" spans="14:21" ht="9.75" customHeight="1">
      <c r="N5" s="5"/>
      <c r="U5" s="3"/>
    </row>
    <row r="6" spans="9:14" ht="9.75" customHeight="1">
      <c r="I6" s="2">
        <v>0</v>
      </c>
      <c r="N6" s="5"/>
    </row>
    <row r="7" spans="9:21" ht="9.75" customHeight="1">
      <c r="I7" s="2">
        <v>0</v>
      </c>
      <c r="N7" s="5"/>
      <c r="U7" s="36"/>
    </row>
    <row r="8" spans="1:21" ht="9.75" customHeight="1">
      <c r="A8" s="3"/>
      <c r="N8" s="5"/>
      <c r="U8" s="5"/>
    </row>
    <row r="9" spans="1:21" ht="9.75" customHeight="1">
      <c r="A9" s="12"/>
      <c r="B9" s="98"/>
      <c r="C9" s="12"/>
      <c r="D9" s="12">
        <f>SUM(D2:D8)</f>
        <v>0</v>
      </c>
      <c r="E9" s="12">
        <f>SUM(E2:E8)</f>
        <v>0</v>
      </c>
      <c r="F9" s="12"/>
      <c r="G9" s="12"/>
      <c r="H9" s="12"/>
      <c r="I9" s="12">
        <f>SUM(I2:I6)</f>
        <v>0</v>
      </c>
      <c r="J9" s="12">
        <f>SUM(J2:J8)</f>
        <v>0</v>
      </c>
      <c r="K9" s="12"/>
      <c r="L9" s="12">
        <f>SUM(L2:L8)</f>
        <v>0</v>
      </c>
      <c r="M9" s="12">
        <f>SUM(M2:M8)</f>
        <v>0</v>
      </c>
      <c r="N9" s="12"/>
      <c r="O9" s="12">
        <f>SUM(O2:O6)</f>
        <v>0</v>
      </c>
      <c r="P9" s="12">
        <f>SUM(P2:P8)</f>
        <v>0</v>
      </c>
      <c r="Q9" s="12">
        <f>SUM(Q2:Q8)</f>
        <v>0</v>
      </c>
      <c r="R9" s="12">
        <f>SUM(R2:R8)</f>
        <v>0</v>
      </c>
      <c r="S9" s="12">
        <f>SUM(S2:S8)</f>
        <v>0</v>
      </c>
      <c r="T9" s="13">
        <f>SUM(D9:S9)</f>
        <v>0</v>
      </c>
      <c r="U9" s="37"/>
    </row>
    <row r="10" spans="1:19" ht="9.75" customHeight="1">
      <c r="A10" s="3"/>
      <c r="D10" s="2">
        <v>0</v>
      </c>
      <c r="E10" s="2">
        <v>0</v>
      </c>
      <c r="F10" s="2">
        <v>0</v>
      </c>
      <c r="I10" s="2">
        <v>0</v>
      </c>
      <c r="J10" s="2">
        <v>0</v>
      </c>
      <c r="K10" s="2"/>
      <c r="L10" s="2">
        <v>0</v>
      </c>
      <c r="N10" s="5"/>
      <c r="O10" s="2">
        <v>0</v>
      </c>
      <c r="P10" s="2">
        <v>0</v>
      </c>
      <c r="Q10" s="2"/>
      <c r="R10" s="2">
        <v>0</v>
      </c>
      <c r="S10" s="2">
        <v>0</v>
      </c>
    </row>
    <row r="11" spans="1:19" ht="9.75" customHeight="1">
      <c r="A11" s="3"/>
      <c r="D11" s="2">
        <v>0</v>
      </c>
      <c r="I11" s="2">
        <v>0</v>
      </c>
      <c r="J11" s="2">
        <v>0</v>
      </c>
      <c r="K11" s="2"/>
      <c r="L11" s="2">
        <v>0</v>
      </c>
      <c r="N11" s="5"/>
      <c r="O11" s="2">
        <v>0</v>
      </c>
      <c r="S11" s="2">
        <v>0</v>
      </c>
    </row>
    <row r="12" spans="1:14" ht="9.75" customHeight="1">
      <c r="A12" s="3"/>
      <c r="N12" s="5"/>
    </row>
    <row r="13" spans="1:14" ht="9.75" customHeight="1">
      <c r="A13" s="3"/>
      <c r="N13" s="5"/>
    </row>
    <row r="14" spans="1:15" ht="9.75" customHeight="1">
      <c r="A14" s="3"/>
      <c r="J14" s="2">
        <v>0</v>
      </c>
      <c r="N14" s="5"/>
      <c r="O14" s="2">
        <v>0</v>
      </c>
    </row>
    <row r="15" spans="1:14" ht="9.75" customHeight="1">
      <c r="A15" s="3"/>
      <c r="J15" s="2">
        <v>0</v>
      </c>
      <c r="N15" s="5"/>
    </row>
    <row r="16" spans="1:14" ht="9.75" customHeight="1">
      <c r="A16" s="3"/>
      <c r="N16" s="5"/>
    </row>
    <row r="17" spans="1:21" ht="9.75" customHeight="1">
      <c r="A17" s="12"/>
      <c r="B17" s="98"/>
      <c r="C17" s="12"/>
      <c r="D17" s="12">
        <f>SUM(D10:D16)</f>
        <v>0</v>
      </c>
      <c r="E17" s="12">
        <f>SUM(E10:E16)</f>
        <v>0</v>
      </c>
      <c r="F17" s="12">
        <f>SUM(F10:F16)</f>
        <v>0</v>
      </c>
      <c r="G17" s="12"/>
      <c r="H17" s="12"/>
      <c r="I17" s="12">
        <f>SUM(I10:I16)</f>
        <v>0</v>
      </c>
      <c r="J17" s="12">
        <f>SUM(J10:J16)</f>
        <v>0</v>
      </c>
      <c r="K17" s="12">
        <f>SUM(K10:K16)</f>
        <v>0</v>
      </c>
      <c r="L17" s="12">
        <f>SUM(L10:L16)</f>
        <v>0</v>
      </c>
      <c r="M17" s="12"/>
      <c r="N17" s="12"/>
      <c r="O17" s="12">
        <f>SUM(O10:O16)</f>
        <v>0</v>
      </c>
      <c r="P17" s="12">
        <f>SUM(P10:P16)</f>
        <v>0</v>
      </c>
      <c r="Q17" s="12">
        <f>SUM(Q10:Q16)</f>
        <v>0</v>
      </c>
      <c r="R17" s="12">
        <f>SUM(R10:R16)</f>
        <v>0</v>
      </c>
      <c r="S17" s="12">
        <f>SUM(S10:S16)</f>
        <v>0</v>
      </c>
      <c r="T17" s="13">
        <f>SUM(D17:S17)</f>
        <v>0</v>
      </c>
      <c r="U17" s="2"/>
    </row>
    <row r="18" spans="1:20" ht="9.75" customHeight="1">
      <c r="A18" s="3"/>
      <c r="C18" s="5">
        <v>0</v>
      </c>
      <c r="D18" s="5">
        <v>0</v>
      </c>
      <c r="E18" s="5">
        <v>0</v>
      </c>
      <c r="F18" s="5"/>
      <c r="G18" s="5"/>
      <c r="H18" s="5"/>
      <c r="I18" s="5">
        <v>0</v>
      </c>
      <c r="J18" s="5">
        <v>0</v>
      </c>
      <c r="K18" s="5"/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3"/>
    </row>
    <row r="19" spans="1:20" ht="9.75" customHeight="1">
      <c r="A19" s="3"/>
      <c r="C19" s="5">
        <v>0</v>
      </c>
      <c r="D19" s="5">
        <v>0</v>
      </c>
      <c r="E19" s="5"/>
      <c r="F19" s="5"/>
      <c r="G19" s="5"/>
      <c r="H19" s="5"/>
      <c r="I19" s="5">
        <v>0</v>
      </c>
      <c r="J19" s="5"/>
      <c r="K19" s="5"/>
      <c r="L19" s="5">
        <v>0</v>
      </c>
      <c r="M19" s="5"/>
      <c r="N19" s="5">
        <v>0</v>
      </c>
      <c r="O19" s="5"/>
      <c r="P19" s="5"/>
      <c r="Q19" s="5"/>
      <c r="R19" s="5"/>
      <c r="S19" s="5"/>
      <c r="T19" s="3"/>
    </row>
    <row r="20" spans="1:20" ht="9.75" customHeight="1">
      <c r="A20" s="3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3"/>
    </row>
    <row r="21" spans="1:21" ht="9.75" customHeight="1">
      <c r="A21" s="3"/>
      <c r="C21" s="5">
        <v>0</v>
      </c>
      <c r="D21" s="2">
        <v>0</v>
      </c>
      <c r="E21" s="5"/>
      <c r="F21" s="5"/>
      <c r="G21" s="5"/>
      <c r="H21" s="5"/>
      <c r="I21" s="5">
        <v>0</v>
      </c>
      <c r="J21" s="5"/>
      <c r="K21" s="5"/>
      <c r="L21" s="5"/>
      <c r="M21" s="5"/>
      <c r="N21" s="5">
        <v>0</v>
      </c>
      <c r="O21" s="5"/>
      <c r="P21" s="5"/>
      <c r="Q21" s="5"/>
      <c r="R21" s="5"/>
      <c r="S21" s="5"/>
      <c r="T21" s="3"/>
      <c r="U21" s="5"/>
    </row>
    <row r="22" spans="1:20" ht="9.75" customHeight="1">
      <c r="A22" s="3"/>
      <c r="C22" s="5">
        <v>0</v>
      </c>
      <c r="D22" s="5">
        <v>0</v>
      </c>
      <c r="E22" s="5"/>
      <c r="F22" s="5"/>
      <c r="G22" s="5"/>
      <c r="H22" s="5"/>
      <c r="I22" s="5">
        <v>0</v>
      </c>
      <c r="J22" s="5"/>
      <c r="K22" s="5"/>
      <c r="L22" s="5"/>
      <c r="M22" s="5"/>
      <c r="N22" s="5">
        <v>0</v>
      </c>
      <c r="O22" s="5"/>
      <c r="P22" s="5"/>
      <c r="Q22" s="5"/>
      <c r="R22" s="5"/>
      <c r="S22" s="5"/>
      <c r="T22" s="3"/>
    </row>
    <row r="23" spans="1:20" ht="9.75" customHeight="1">
      <c r="A23" s="3"/>
      <c r="C23" s="5">
        <v>0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>
        <v>0</v>
      </c>
      <c r="O23" s="5"/>
      <c r="P23" s="5"/>
      <c r="Q23" s="5"/>
      <c r="R23" s="5"/>
      <c r="S23" s="5"/>
      <c r="T23" s="3"/>
    </row>
    <row r="24" spans="1:20" ht="9.75" customHeight="1">
      <c r="A24" s="3"/>
      <c r="C24" s="5">
        <v>0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>
        <v>0</v>
      </c>
      <c r="O24" s="5"/>
      <c r="P24" s="5"/>
      <c r="Q24" s="5"/>
      <c r="R24" s="5"/>
      <c r="S24" s="5"/>
      <c r="T24" s="3"/>
    </row>
    <row r="25" spans="1:21" ht="9.75" customHeight="1">
      <c r="A25" s="12"/>
      <c r="B25" s="98"/>
      <c r="C25" s="12"/>
      <c r="D25" s="12">
        <f>SUM(D18:D24)</f>
        <v>0</v>
      </c>
      <c r="E25" s="12">
        <f>SUM(E18:E24)</f>
        <v>0</v>
      </c>
      <c r="F25" s="12">
        <f>SUM(F19:F24)</f>
        <v>0</v>
      </c>
      <c r="G25" s="12"/>
      <c r="H25" s="12"/>
      <c r="I25" s="12">
        <f>SUM(I18:I24)</f>
        <v>0</v>
      </c>
      <c r="J25" s="12">
        <f>SUM(J18:J24)</f>
        <v>0</v>
      </c>
      <c r="K25" s="12">
        <f>SUM(K18:K24)</f>
        <v>0</v>
      </c>
      <c r="L25" s="12">
        <f>SUM(L18:L24)</f>
        <v>0</v>
      </c>
      <c r="M25" s="12">
        <f>SUM(M18:M24)</f>
        <v>0</v>
      </c>
      <c r="N25" s="12"/>
      <c r="O25" s="12">
        <f>SUM(O18:O24)</f>
        <v>0</v>
      </c>
      <c r="P25" s="12">
        <f>SUM(P18:P24)</f>
        <v>0</v>
      </c>
      <c r="Q25" s="12">
        <f>SUM(Q18:Q24)</f>
        <v>0</v>
      </c>
      <c r="R25" s="12">
        <f>SUM(R18:R24)</f>
        <v>0</v>
      </c>
      <c r="S25" s="12">
        <f>SUM(S18:S24)</f>
        <v>0</v>
      </c>
      <c r="T25" s="13">
        <f>SUM(D25:S25)</f>
        <v>0</v>
      </c>
      <c r="U25" s="2"/>
    </row>
    <row r="26" spans="1:20" ht="9.75" customHeight="1">
      <c r="A26" s="3"/>
      <c r="C26" s="5">
        <v>0</v>
      </c>
      <c r="D26" s="5">
        <v>0</v>
      </c>
      <c r="E26" s="5">
        <v>0</v>
      </c>
      <c r="F26" s="5"/>
      <c r="G26" s="5">
        <v>0</v>
      </c>
      <c r="H26" s="5"/>
      <c r="I26" s="5">
        <v>0</v>
      </c>
      <c r="J26" s="5">
        <v>0</v>
      </c>
      <c r="K26" s="5"/>
      <c r="L26" s="5">
        <v>0</v>
      </c>
      <c r="M26" s="5"/>
      <c r="N26" s="5">
        <v>0</v>
      </c>
      <c r="O26" s="5">
        <v>0</v>
      </c>
      <c r="P26" s="5">
        <v>0</v>
      </c>
      <c r="Q26" s="5"/>
      <c r="R26" s="5">
        <v>0</v>
      </c>
      <c r="S26" s="5">
        <v>0</v>
      </c>
      <c r="T26" s="3"/>
    </row>
    <row r="27" spans="1:20" ht="9.75" customHeight="1">
      <c r="A27" s="3"/>
      <c r="C27" s="5">
        <v>0</v>
      </c>
      <c r="D27" s="5">
        <v>0</v>
      </c>
      <c r="E27" s="5"/>
      <c r="F27" s="5"/>
      <c r="G27" s="5">
        <v>0</v>
      </c>
      <c r="H27" s="5"/>
      <c r="I27" s="5">
        <v>0</v>
      </c>
      <c r="J27" s="5">
        <v>0</v>
      </c>
      <c r="K27" s="5"/>
      <c r="L27" s="5"/>
      <c r="M27" s="5"/>
      <c r="N27" s="5">
        <v>0</v>
      </c>
      <c r="O27" s="5">
        <v>0</v>
      </c>
      <c r="P27" s="5">
        <v>0</v>
      </c>
      <c r="Q27" s="5"/>
      <c r="R27" s="5"/>
      <c r="S27" s="5">
        <v>0</v>
      </c>
      <c r="T27" s="3"/>
    </row>
    <row r="28" spans="1:20" ht="9.75" customHeight="1">
      <c r="A28" s="3"/>
      <c r="C28" s="5">
        <v>0</v>
      </c>
      <c r="E28" s="5"/>
      <c r="F28" s="5"/>
      <c r="G28" s="5"/>
      <c r="H28" s="5"/>
      <c r="I28" s="5">
        <v>0</v>
      </c>
      <c r="J28" s="5">
        <v>0</v>
      </c>
      <c r="K28" s="5"/>
      <c r="L28" s="5"/>
      <c r="M28" s="5"/>
      <c r="N28" s="5">
        <v>0</v>
      </c>
      <c r="O28" s="5">
        <v>0</v>
      </c>
      <c r="P28" s="5"/>
      <c r="Q28" s="5"/>
      <c r="R28" s="5"/>
      <c r="S28" s="5"/>
      <c r="T28" s="3"/>
    </row>
    <row r="29" spans="1:21" ht="9.75" customHeight="1">
      <c r="A29" s="3"/>
      <c r="C29" s="5">
        <v>0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>
        <v>0</v>
      </c>
      <c r="O29" s="5"/>
      <c r="P29" s="5"/>
      <c r="Q29" s="5"/>
      <c r="R29" s="5"/>
      <c r="S29" s="5"/>
      <c r="U29" s="2">
        <v>0</v>
      </c>
    </row>
    <row r="30" spans="1:21" ht="9.75" customHeight="1">
      <c r="A30" s="3"/>
      <c r="C30" s="5">
        <v>0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>
        <v>0</v>
      </c>
      <c r="O30" s="5"/>
      <c r="P30" s="5"/>
      <c r="Q30" s="5"/>
      <c r="R30" s="5"/>
      <c r="S30" s="5"/>
      <c r="U30" s="2">
        <v>0</v>
      </c>
    </row>
    <row r="31" spans="1:21" ht="9.75" customHeight="1">
      <c r="A31" s="3"/>
      <c r="C31" s="5">
        <v>0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>
        <v>0</v>
      </c>
      <c r="O31" s="5"/>
      <c r="P31" s="5"/>
      <c r="Q31" s="5"/>
      <c r="R31" s="5"/>
      <c r="S31" s="5"/>
      <c r="U31" s="2">
        <v>0</v>
      </c>
    </row>
    <row r="32" spans="1:19" ht="9.75" customHeight="1">
      <c r="A32" s="3"/>
      <c r="C32" s="5">
        <v>0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>
        <v>0</v>
      </c>
      <c r="O32" s="5"/>
      <c r="P32" s="5"/>
      <c r="Q32" s="5"/>
      <c r="R32" s="5"/>
      <c r="S32" s="5"/>
    </row>
    <row r="33" spans="1:21" ht="9.75" customHeight="1">
      <c r="A33" s="8"/>
      <c r="B33" s="98"/>
      <c r="C33" s="12">
        <f>SUM(C26:C32)</f>
        <v>0</v>
      </c>
      <c r="D33" s="12">
        <f>SUM(D26:D32)</f>
        <v>0</v>
      </c>
      <c r="E33" s="12">
        <f>SUM(E26:E32)</f>
        <v>0</v>
      </c>
      <c r="F33" s="12">
        <f>SUM(F26:F32)</f>
        <v>0</v>
      </c>
      <c r="G33" s="12">
        <f>SUM(G26:G32)</f>
        <v>0</v>
      </c>
      <c r="H33" s="12">
        <f>SUM(H26:H32)</f>
        <v>0</v>
      </c>
      <c r="I33" s="12">
        <f>SUM(I26:I32)</f>
        <v>0</v>
      </c>
      <c r="J33" s="12">
        <f>SUM(J26:J32)</f>
        <v>0</v>
      </c>
      <c r="K33" s="12">
        <f>SUM(K26:K32)</f>
        <v>0</v>
      </c>
      <c r="L33" s="12">
        <f>SUM(L26:L32)</f>
        <v>0</v>
      </c>
      <c r="M33" s="12">
        <f>SUM(M26:M32)</f>
        <v>0</v>
      </c>
      <c r="N33" s="12">
        <f>SUM(N26:N32)</f>
        <v>0</v>
      </c>
      <c r="O33" s="12">
        <f>SUM(O26:O32)</f>
        <v>0</v>
      </c>
      <c r="P33" s="12">
        <f>SUM(P26:P32)</f>
        <v>0</v>
      </c>
      <c r="Q33" s="12">
        <f>SUM(Q26:Q32)</f>
        <v>0</v>
      </c>
      <c r="R33" s="12">
        <f>SUM(R26:R32)</f>
        <v>0</v>
      </c>
      <c r="S33" s="12">
        <f>SUM(S26:S32)</f>
        <v>0</v>
      </c>
      <c r="T33" s="13">
        <f>SUM(C33:S33)</f>
        <v>0</v>
      </c>
      <c r="U33" s="2"/>
    </row>
    <row r="34" spans="1:20" ht="9.75" customHeight="1">
      <c r="A34" s="3"/>
      <c r="C34" s="5">
        <v>0</v>
      </c>
      <c r="D34" s="5">
        <v>0</v>
      </c>
      <c r="E34" s="5">
        <v>0</v>
      </c>
      <c r="F34" s="5"/>
      <c r="G34" s="5"/>
      <c r="H34" s="5"/>
      <c r="I34" s="5">
        <v>0</v>
      </c>
      <c r="J34" s="5">
        <v>0</v>
      </c>
      <c r="K34" s="5">
        <v>0</v>
      </c>
      <c r="L34" s="5">
        <v>0</v>
      </c>
      <c r="M34" s="5"/>
      <c r="N34" s="5">
        <v>0</v>
      </c>
      <c r="O34" s="5"/>
      <c r="P34" s="5"/>
      <c r="Q34" s="5"/>
      <c r="R34" s="5">
        <v>0</v>
      </c>
      <c r="S34" s="5">
        <v>0</v>
      </c>
      <c r="T34" s="3"/>
    </row>
    <row r="35" spans="1:20" ht="9.75" customHeight="1">
      <c r="A35" s="3"/>
      <c r="C35" s="5">
        <v>0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>
        <v>0</v>
      </c>
      <c r="O35" s="5"/>
      <c r="P35" s="5"/>
      <c r="Q35" s="5"/>
      <c r="R35" s="5"/>
      <c r="S35" s="5"/>
      <c r="T35" s="3"/>
    </row>
    <row r="36" spans="1:20" ht="9.75" customHeight="1">
      <c r="A36" s="3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3"/>
    </row>
    <row r="37" spans="1:20" ht="9.75" customHeight="1">
      <c r="A37" s="3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3"/>
    </row>
    <row r="38" spans="1:20" ht="9.75" customHeight="1">
      <c r="A38" s="3"/>
      <c r="C38" s="5">
        <v>0</v>
      </c>
      <c r="E38" s="5"/>
      <c r="F38" s="5"/>
      <c r="G38" s="5"/>
      <c r="H38" s="5"/>
      <c r="I38" s="5"/>
      <c r="J38" s="5"/>
      <c r="K38" s="5"/>
      <c r="L38" s="5"/>
      <c r="M38" s="5"/>
      <c r="N38" s="5">
        <v>0</v>
      </c>
      <c r="O38" s="5"/>
      <c r="P38" s="5"/>
      <c r="Q38" s="5"/>
      <c r="R38" s="5"/>
      <c r="S38" s="5"/>
      <c r="T38" s="3"/>
    </row>
    <row r="39" spans="1:19" ht="9.75" customHeight="1">
      <c r="A39" s="3"/>
      <c r="C39" s="5">
        <v>0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>
        <v>0</v>
      </c>
      <c r="O39" s="5"/>
      <c r="P39" s="5"/>
      <c r="Q39" s="5"/>
      <c r="R39" s="5"/>
      <c r="S39" s="5"/>
    </row>
    <row r="40" spans="1:21" ht="9.75" customHeight="1">
      <c r="A40" s="3"/>
      <c r="C40" s="5">
        <v>0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>
        <v>0</v>
      </c>
      <c r="O40" s="5"/>
      <c r="P40" s="5"/>
      <c r="Q40" s="5"/>
      <c r="R40" s="5"/>
      <c r="S40" s="5"/>
      <c r="U40" s="120" t="s">
        <v>91</v>
      </c>
    </row>
    <row r="41" spans="1:21" ht="9.75" customHeight="1" thickBot="1">
      <c r="A41" s="119"/>
      <c r="B41" s="463"/>
      <c r="C41" s="119"/>
      <c r="D41" s="119">
        <v>0</v>
      </c>
      <c r="E41" s="119">
        <f>SUM(E34:E40)</f>
        <v>0</v>
      </c>
      <c r="F41" s="119">
        <f>SUM(F34:F40)</f>
        <v>0</v>
      </c>
      <c r="G41" s="119">
        <f>SUM(G34:G40)</f>
        <v>0</v>
      </c>
      <c r="H41" s="119">
        <f>SUM(H34:H40)</f>
        <v>0</v>
      </c>
      <c r="I41" s="119">
        <f>SUM(I34:I40)</f>
        <v>0</v>
      </c>
      <c r="J41" s="119">
        <f>SUM(J34:J40)</f>
        <v>0</v>
      </c>
      <c r="K41" s="119">
        <f>SUM(K34:K40)</f>
        <v>0</v>
      </c>
      <c r="L41" s="119">
        <v>0</v>
      </c>
      <c r="M41" s="119">
        <f>SUM(M34:M40)</f>
        <v>0</v>
      </c>
      <c r="N41" s="119"/>
      <c r="O41" s="119">
        <f>SUM(O34:O40)</f>
        <v>0</v>
      </c>
      <c r="P41" s="119">
        <f>SUM(P34:P40)</f>
        <v>0</v>
      </c>
      <c r="Q41" s="119">
        <f>SUM(Q34:Q40)</f>
        <v>0</v>
      </c>
      <c r="R41" s="119">
        <f>SUM(R34:R40)</f>
        <v>0</v>
      </c>
      <c r="S41" s="119">
        <f>SUM(S34:S40)</f>
        <v>0</v>
      </c>
      <c r="T41" s="13">
        <f>SUM(D41:S41)</f>
        <v>0</v>
      </c>
      <c r="U41" s="121">
        <f>T9</f>
        <v>0</v>
      </c>
    </row>
    <row r="42" spans="1:21" ht="9.75" customHeight="1" thickTop="1">
      <c r="A42" s="3"/>
      <c r="C42" s="5">
        <v>0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>
        <v>0</v>
      </c>
      <c r="O42" s="5"/>
      <c r="P42" s="5"/>
      <c r="Q42" s="5"/>
      <c r="R42" s="5"/>
      <c r="S42" s="5"/>
      <c r="T42" s="2">
        <f>SUM(D43:S43)</f>
        <v>0</v>
      </c>
      <c r="U42" s="121">
        <f>T17</f>
        <v>0</v>
      </c>
    </row>
    <row r="43" spans="1:21" ht="9.75" customHeight="1">
      <c r="A43" s="6" t="s">
        <v>187</v>
      </c>
      <c r="C43" s="12"/>
      <c r="D43" s="12">
        <f>D9+D17+D25+D33</f>
        <v>0</v>
      </c>
      <c r="E43" s="12">
        <f>E9+E17+E25+E33</f>
        <v>0</v>
      </c>
      <c r="F43" s="12">
        <f>F9+F17+F25+F33</f>
        <v>0</v>
      </c>
      <c r="G43" s="12">
        <f>G9+G17+G25+G33</f>
        <v>0</v>
      </c>
      <c r="H43" s="12">
        <f>H9+H17</f>
        <v>0</v>
      </c>
      <c r="I43" s="12">
        <f>I9+I17+I25+I33</f>
        <v>0</v>
      </c>
      <c r="J43" s="12">
        <f>J9+J17+J25+J33</f>
        <v>0</v>
      </c>
      <c r="K43" s="12">
        <f>K9+K17</f>
        <v>0</v>
      </c>
      <c r="L43" s="12">
        <f>L9+L17+L25+L33</f>
        <v>0</v>
      </c>
      <c r="M43" s="12">
        <f>M9+M17+M25+M33</f>
        <v>0</v>
      </c>
      <c r="N43" s="12"/>
      <c r="O43" s="12">
        <f>O9+O17+O25+O33</f>
        <v>0</v>
      </c>
      <c r="P43" s="12">
        <f>P9+P17+P25+P33</f>
        <v>0</v>
      </c>
      <c r="Q43" s="12">
        <f>Q9+Q17+Q25+Q33</f>
        <v>0</v>
      </c>
      <c r="R43" s="12">
        <f>R9+R17+R25+R33</f>
        <v>0</v>
      </c>
      <c r="S43" s="12">
        <f>S9+S17+S25+S33</f>
        <v>0</v>
      </c>
      <c r="T43" s="2"/>
      <c r="U43" s="121">
        <f>T25</f>
        <v>0</v>
      </c>
    </row>
    <row r="44" spans="14:21" ht="9.75" customHeight="1">
      <c r="N44" s="5"/>
      <c r="U44" s="121">
        <f>T33</f>
        <v>0</v>
      </c>
    </row>
    <row r="45" spans="14:21" ht="9.75" customHeight="1">
      <c r="N45" s="5"/>
      <c r="T45" s="2" t="s">
        <v>92</v>
      </c>
      <c r="U45" s="121">
        <f>T41</f>
        <v>0</v>
      </c>
    </row>
    <row r="46" spans="3:21" ht="9.75" customHeight="1"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8" t="s">
        <v>93</v>
      </c>
      <c r="U46" s="122">
        <f>SUM(U41:U45)</f>
        <v>0</v>
      </c>
    </row>
    <row r="47" spans="1:21" ht="9.75" customHeight="1">
      <c r="A47" s="2" t="s">
        <v>271</v>
      </c>
      <c r="D47" s="3"/>
      <c r="E47" s="3"/>
      <c r="F47" s="3"/>
      <c r="G47" s="3"/>
      <c r="H47" s="3"/>
      <c r="I47" s="3"/>
      <c r="J47" s="3"/>
      <c r="K47" s="3"/>
      <c r="L47" s="3"/>
      <c r="M47" s="3"/>
      <c r="N47" s="5"/>
      <c r="O47" s="3"/>
      <c r="P47" s="3"/>
      <c r="Q47" s="3"/>
      <c r="R47" s="3"/>
      <c r="S47" s="3"/>
      <c r="T47" s="3" t="s">
        <v>94</v>
      </c>
      <c r="U47" s="123" t="e">
        <f>'bdoCH RT      99'!#REF!</f>
        <v>#REF!</v>
      </c>
    </row>
    <row r="48" spans="14:21" ht="9.75" customHeight="1">
      <c r="N48" s="5"/>
      <c r="U48" s="3" t="e">
        <f>SUM(U46:U47)</f>
        <v>#REF!</v>
      </c>
    </row>
    <row r="49" ht="9.75" customHeight="1">
      <c r="N49" s="5"/>
    </row>
    <row r="50" ht="9.75" customHeight="1">
      <c r="N50" s="5"/>
    </row>
    <row r="51" ht="9.75" customHeight="1">
      <c r="N51" s="5"/>
    </row>
  </sheetData>
  <printOptions gridLines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95" r:id="rId3"/>
  <headerFooter alignWithMargins="0">
    <oddHeader>&amp;LKitenge Somwé&amp;CPage &amp;P&amp;R&amp;D</oddHeader>
    <oddFooter>&amp;C&amp;F</oddFooter>
  </headerFooter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 codeName="Feuil14"/>
  <dimension ref="A1:AJ221"/>
  <sheetViews>
    <sheetView showZeros="0" workbookViewId="0" topLeftCell="A1">
      <pane ySplit="1" topLeftCell="BM4" activePane="bottomLeft" state="frozen"/>
      <selection pane="topLeft" activeCell="S1" sqref="S1"/>
      <selection pane="bottomLeft" activeCell="J21" sqref="J21"/>
    </sheetView>
  </sheetViews>
  <sheetFormatPr defaultColWidth="11.421875" defaultRowHeight="9.75" customHeight="1"/>
  <cols>
    <col min="1" max="1" width="3.8515625" style="2" customWidth="1"/>
    <col min="2" max="2" width="7.00390625" style="2" customWidth="1"/>
    <col min="3" max="3" width="5.140625" style="2" customWidth="1"/>
    <col min="4" max="5" width="6.57421875" style="2" customWidth="1"/>
    <col min="6" max="6" width="5.28125" style="2" customWidth="1"/>
    <col min="7" max="7" width="5.7109375" style="2" customWidth="1"/>
    <col min="8" max="8" width="5.00390625" style="2" customWidth="1"/>
    <col min="9" max="9" width="5.7109375" style="2" customWidth="1"/>
    <col min="10" max="10" width="5.8515625" style="2" customWidth="1"/>
    <col min="11" max="11" width="5.140625" style="2" customWidth="1"/>
    <col min="12" max="12" width="5.00390625" style="2" customWidth="1"/>
    <col min="13" max="13" width="4.421875" style="2" customWidth="1"/>
    <col min="14" max="15" width="5.00390625" style="2" customWidth="1"/>
    <col min="16" max="16" width="4.7109375" style="2" customWidth="1"/>
    <col min="17" max="17" width="5.140625" style="2" customWidth="1"/>
    <col min="18" max="18" width="4.8515625" style="2" customWidth="1"/>
    <col min="19" max="19" width="5.28125" style="2" customWidth="1"/>
    <col min="20" max="20" width="5.00390625" style="2" customWidth="1"/>
    <col min="21" max="21" width="5.57421875" style="2" customWidth="1"/>
    <col min="22" max="22" width="5.00390625" style="2" customWidth="1"/>
    <col min="23" max="23" width="5.28125" style="2" customWidth="1"/>
    <col min="24" max="24" width="5.421875" style="2" customWidth="1"/>
    <col min="25" max="25" width="5.140625" style="0" customWidth="1"/>
    <col min="26" max="26" width="5.57421875" style="0" customWidth="1"/>
    <col min="27" max="27" width="5.421875" style="0" customWidth="1"/>
    <col min="28" max="28" width="7.28125" style="2" customWidth="1"/>
    <col min="29" max="29" width="7.140625" style="2" customWidth="1"/>
    <col min="30" max="30" width="7.28125" style="2" customWidth="1"/>
    <col min="31" max="31" width="5.8515625" style="2" customWidth="1"/>
    <col min="32" max="32" width="5.140625" style="0" customWidth="1"/>
    <col min="33" max="33" width="5.7109375" style="5" customWidth="1"/>
    <col min="34" max="34" width="6.00390625" style="5" customWidth="1"/>
    <col min="35" max="39" width="11.421875" style="5" customWidth="1"/>
    <col min="40" max="16384" width="11.421875" style="2" customWidth="1"/>
  </cols>
  <sheetData>
    <row r="1" spans="1:34" ht="9.75" customHeight="1">
      <c r="A1" s="493" t="s">
        <v>0</v>
      </c>
      <c r="B1" s="494" t="s">
        <v>3</v>
      </c>
      <c r="C1" s="494" t="s">
        <v>220</v>
      </c>
      <c r="D1" s="494" t="s">
        <v>4</v>
      </c>
      <c r="E1" s="536" t="s">
        <v>1</v>
      </c>
      <c r="F1" s="537" t="s">
        <v>152</v>
      </c>
      <c r="G1" s="495" t="s">
        <v>394</v>
      </c>
      <c r="H1" s="495" t="s">
        <v>356</v>
      </c>
      <c r="I1" s="495" t="s">
        <v>186</v>
      </c>
      <c r="J1" s="494" t="s">
        <v>1199</v>
      </c>
      <c r="K1" s="495" t="s">
        <v>260</v>
      </c>
      <c r="L1" s="495" t="s">
        <v>5</v>
      </c>
      <c r="M1" s="495" t="s">
        <v>976</v>
      </c>
      <c r="N1" s="495" t="s">
        <v>1128</v>
      </c>
      <c r="O1" s="2" t="s">
        <v>1146</v>
      </c>
      <c r="P1" s="495" t="s">
        <v>267</v>
      </c>
      <c r="Q1" s="495" t="s">
        <v>304</v>
      </c>
      <c r="R1" s="495" t="s">
        <v>303</v>
      </c>
      <c r="S1" s="495" t="s">
        <v>357</v>
      </c>
      <c r="T1" s="495" t="s">
        <v>1150</v>
      </c>
      <c r="U1" s="496" t="s">
        <v>820</v>
      </c>
      <c r="V1" s="495" t="s">
        <v>281</v>
      </c>
      <c r="W1" s="495" t="s">
        <v>353</v>
      </c>
      <c r="X1" s="497" t="s">
        <v>832</v>
      </c>
      <c r="Y1" s="495" t="s">
        <v>950</v>
      </c>
      <c r="Z1" s="495" t="s">
        <v>1158</v>
      </c>
      <c r="AA1" s="536" t="s">
        <v>726</v>
      </c>
      <c r="AB1" s="1" t="s">
        <v>269</v>
      </c>
      <c r="AC1" s="542" t="s">
        <v>159</v>
      </c>
      <c r="AD1" s="494" t="s">
        <v>221</v>
      </c>
      <c r="AE1" s="495" t="s">
        <v>1105</v>
      </c>
      <c r="AF1" s="495" t="s">
        <v>951</v>
      </c>
      <c r="AG1" s="495" t="s">
        <v>979</v>
      </c>
      <c r="AH1" s="538" t="s">
        <v>349</v>
      </c>
    </row>
    <row r="2" spans="1:34" ht="9.75" customHeight="1">
      <c r="A2" s="459" t="s">
        <v>0</v>
      </c>
      <c r="B2" s="96">
        <v>34759</v>
      </c>
      <c r="C2" s="550" t="s">
        <v>1169</v>
      </c>
      <c r="D2" s="5"/>
      <c r="E2" s="11">
        <v>22769</v>
      </c>
      <c r="F2" s="460">
        <v>0</v>
      </c>
      <c r="G2" s="5"/>
      <c r="H2" s="5"/>
      <c r="I2" s="5"/>
      <c r="J2" s="476"/>
      <c r="K2" s="5"/>
      <c r="L2" s="5"/>
      <c r="M2" s="5"/>
      <c r="N2" s="5"/>
      <c r="O2" s="5"/>
      <c r="P2" s="5"/>
      <c r="Q2" s="5"/>
      <c r="R2" s="5"/>
      <c r="S2" s="5"/>
      <c r="T2" s="61"/>
      <c r="U2" s="61"/>
      <c r="V2" s="5"/>
      <c r="W2" s="5"/>
      <c r="X2" s="5"/>
      <c r="Y2" s="5"/>
      <c r="Z2" s="5"/>
      <c r="AA2" s="5"/>
      <c r="AB2" s="543">
        <v>0</v>
      </c>
      <c r="AC2" s="5">
        <v>0</v>
      </c>
      <c r="AD2" s="5">
        <v>0</v>
      </c>
      <c r="AE2" s="126"/>
      <c r="AF2" s="5"/>
      <c r="AG2" s="10"/>
      <c r="AH2" s="498"/>
    </row>
    <row r="3" spans="1:34" ht="9.75" customHeight="1">
      <c r="A3" s="460">
        <v>9</v>
      </c>
      <c r="B3" s="96">
        <v>34759</v>
      </c>
      <c r="C3" s="550" t="s">
        <v>1170</v>
      </c>
      <c r="D3" s="5"/>
      <c r="E3" s="11"/>
      <c r="F3" s="460"/>
      <c r="G3" s="5"/>
      <c r="H3" s="5"/>
      <c r="I3" s="5"/>
      <c r="J3" s="126">
        <v>0</v>
      </c>
      <c r="K3" s="5"/>
      <c r="L3" s="5"/>
      <c r="M3" s="5"/>
      <c r="N3" s="5"/>
      <c r="O3" s="5">
        <v>0</v>
      </c>
      <c r="P3" s="5"/>
      <c r="Q3" s="5"/>
      <c r="R3" s="5"/>
      <c r="S3" s="5"/>
      <c r="T3" s="61"/>
      <c r="U3" s="5"/>
      <c r="V3" s="5">
        <v>2063</v>
      </c>
      <c r="W3" s="5"/>
      <c r="X3" s="5"/>
      <c r="Y3" s="5"/>
      <c r="Z3" s="5"/>
      <c r="AA3" s="5"/>
      <c r="AB3" s="126"/>
      <c r="AC3" s="5"/>
      <c r="AD3" s="5" t="s">
        <v>157</v>
      </c>
      <c r="AE3" s="539">
        <v>0</v>
      </c>
      <c r="AF3" s="5"/>
      <c r="AG3" s="11"/>
      <c r="AH3" s="499"/>
    </row>
    <row r="4" spans="1:34" ht="9.75" customHeight="1">
      <c r="A4" s="460"/>
      <c r="B4" s="96">
        <v>34760</v>
      </c>
      <c r="C4" s="550" t="s">
        <v>1171</v>
      </c>
      <c r="D4" s="5"/>
      <c r="E4" s="11"/>
      <c r="F4" s="460"/>
      <c r="G4" s="5"/>
      <c r="H4" s="5"/>
      <c r="I4" s="5"/>
      <c r="J4" s="126"/>
      <c r="K4" s="5"/>
      <c r="L4" s="5">
        <v>0</v>
      </c>
      <c r="M4" s="5">
        <v>0</v>
      </c>
      <c r="N4" s="5"/>
      <c r="O4" s="5"/>
      <c r="P4" s="5"/>
      <c r="Q4" s="5"/>
      <c r="R4" s="5"/>
      <c r="S4" s="5"/>
      <c r="T4" s="61"/>
      <c r="U4" s="61"/>
      <c r="V4" s="5">
        <v>2057</v>
      </c>
      <c r="W4" s="5"/>
      <c r="X4" s="5"/>
      <c r="Y4" s="5"/>
      <c r="Z4" s="5"/>
      <c r="AA4" s="5"/>
      <c r="AB4" s="126"/>
      <c r="AC4" s="116" t="s">
        <v>222</v>
      </c>
      <c r="AD4" s="5">
        <v>0</v>
      </c>
      <c r="AE4" s="539"/>
      <c r="AF4" s="5"/>
      <c r="AG4" s="11"/>
      <c r="AH4" s="499"/>
    </row>
    <row r="5" spans="1:34" ht="9.75" customHeight="1">
      <c r="A5" s="460"/>
      <c r="B5" s="96">
        <v>34761</v>
      </c>
      <c r="C5" s="550" t="s">
        <v>1172</v>
      </c>
      <c r="D5" s="5"/>
      <c r="E5" s="11">
        <v>22643</v>
      </c>
      <c r="F5" s="460"/>
      <c r="G5" s="5"/>
      <c r="H5" s="5"/>
      <c r="I5" s="5"/>
      <c r="J5" s="126"/>
      <c r="K5" s="5"/>
      <c r="L5" s="5"/>
      <c r="M5" s="5">
        <v>0</v>
      </c>
      <c r="N5" s="5"/>
      <c r="O5" s="5"/>
      <c r="P5" s="5"/>
      <c r="Q5" s="5"/>
      <c r="R5" s="5"/>
      <c r="S5" s="5"/>
      <c r="T5" s="61"/>
      <c r="U5" s="61"/>
      <c r="V5" s="5"/>
      <c r="W5" s="5"/>
      <c r="X5" s="5"/>
      <c r="Y5" s="5"/>
      <c r="Z5" s="5"/>
      <c r="AA5" s="5"/>
      <c r="AB5" s="126"/>
      <c r="AC5" s="6">
        <f>AD2+AC2</f>
        <v>0</v>
      </c>
      <c r="AD5" s="5" t="s">
        <v>226</v>
      </c>
      <c r="AE5" s="126"/>
      <c r="AF5" s="5"/>
      <c r="AG5" s="11"/>
      <c r="AH5" s="499"/>
    </row>
    <row r="6" spans="1:34" ht="9.75" customHeight="1">
      <c r="A6" s="460"/>
      <c r="B6" s="96">
        <v>34761</v>
      </c>
      <c r="C6" s="550" t="s">
        <v>1173</v>
      </c>
      <c r="D6" s="5"/>
      <c r="E6" s="11">
        <v>0</v>
      </c>
      <c r="F6" s="460"/>
      <c r="G6" s="5">
        <v>0</v>
      </c>
      <c r="H6" s="5"/>
      <c r="I6" s="5"/>
      <c r="J6" s="126">
        <v>13</v>
      </c>
      <c r="K6" s="5"/>
      <c r="L6" s="5"/>
      <c r="M6" s="5"/>
      <c r="N6" s="5"/>
      <c r="O6" s="5"/>
      <c r="P6" s="5">
        <v>0</v>
      </c>
      <c r="Q6" s="5"/>
      <c r="R6" s="5"/>
      <c r="S6" s="5"/>
      <c r="T6" s="61"/>
      <c r="U6" s="61"/>
      <c r="V6" s="5"/>
      <c r="W6" s="5"/>
      <c r="X6" s="5"/>
      <c r="Y6" s="5"/>
      <c r="Z6" s="5"/>
      <c r="AA6" s="5"/>
      <c r="AB6" s="126"/>
      <c r="AC6" s="5"/>
      <c r="AD6" s="5">
        <v>0</v>
      </c>
      <c r="AE6" s="126"/>
      <c r="AF6" s="5"/>
      <c r="AG6" s="11"/>
      <c r="AH6" s="499"/>
    </row>
    <row r="7" spans="1:34" ht="9.75" customHeight="1">
      <c r="A7" s="460"/>
      <c r="B7" s="96">
        <v>34762</v>
      </c>
      <c r="C7" s="550" t="s">
        <v>1174</v>
      </c>
      <c r="D7" s="5" t="s">
        <v>459</v>
      </c>
      <c r="E7" s="11"/>
      <c r="F7" s="460"/>
      <c r="G7" s="5"/>
      <c r="H7" s="5"/>
      <c r="I7" s="5"/>
      <c r="J7" s="126"/>
      <c r="K7" s="5"/>
      <c r="L7" s="5"/>
      <c r="M7" s="5"/>
      <c r="N7" s="5"/>
      <c r="O7" s="5"/>
      <c r="P7" s="5"/>
      <c r="Q7" s="5"/>
      <c r="R7" s="5"/>
      <c r="S7" s="5"/>
      <c r="T7" s="61"/>
      <c r="U7" s="61"/>
      <c r="V7" s="5"/>
      <c r="W7" s="5"/>
      <c r="X7" s="5"/>
      <c r="Y7" s="5"/>
      <c r="Z7" s="5"/>
      <c r="AA7" s="5"/>
      <c r="AB7" s="126">
        <v>10688</v>
      </c>
      <c r="AC7" s="5"/>
      <c r="AD7" s="5"/>
      <c r="AE7" s="539"/>
      <c r="AF7" s="5"/>
      <c r="AG7" s="11"/>
      <c r="AH7" s="499">
        <v>0</v>
      </c>
    </row>
    <row r="8" spans="1:34" ht="9.75" customHeight="1">
      <c r="A8" s="460"/>
      <c r="B8" s="96"/>
      <c r="C8" s="550"/>
      <c r="D8" s="5"/>
      <c r="E8" s="11">
        <v>0</v>
      </c>
      <c r="F8" s="460"/>
      <c r="G8" s="5">
        <v>0</v>
      </c>
      <c r="H8" s="5"/>
      <c r="I8" s="5"/>
      <c r="J8" s="126"/>
      <c r="K8" s="5"/>
      <c r="L8" s="5"/>
      <c r="M8" s="5"/>
      <c r="N8" s="5"/>
      <c r="O8" s="5"/>
      <c r="P8" s="5"/>
      <c r="Q8" s="5"/>
      <c r="R8" s="5"/>
      <c r="S8" s="5"/>
      <c r="T8" s="61"/>
      <c r="U8" s="61"/>
      <c r="V8" s="5"/>
      <c r="W8" s="5"/>
      <c r="X8" s="5"/>
      <c r="Y8" s="5"/>
      <c r="Z8" s="5"/>
      <c r="AA8" s="5"/>
      <c r="AB8" s="126"/>
      <c r="AC8" s="5"/>
      <c r="AD8" s="5"/>
      <c r="AE8" s="126">
        <v>0</v>
      </c>
      <c r="AF8" s="5"/>
      <c r="AG8" s="11"/>
      <c r="AH8" s="499"/>
    </row>
    <row r="9" spans="1:34" ht="9.75" customHeight="1">
      <c r="A9" s="460"/>
      <c r="B9" s="96"/>
      <c r="C9" s="550"/>
      <c r="D9" s="5"/>
      <c r="E9" s="11"/>
      <c r="F9" s="460"/>
      <c r="G9" s="5"/>
      <c r="H9" s="5"/>
      <c r="I9" s="5">
        <v>0</v>
      </c>
      <c r="J9" s="126"/>
      <c r="K9" s="5"/>
      <c r="L9" s="5"/>
      <c r="M9" s="5"/>
      <c r="N9" s="5"/>
      <c r="O9" s="5"/>
      <c r="P9" s="5"/>
      <c r="Q9" s="5"/>
      <c r="R9" s="5"/>
      <c r="S9" s="5"/>
      <c r="T9" s="61"/>
      <c r="U9" s="61"/>
      <c r="V9" s="5"/>
      <c r="W9" s="5"/>
      <c r="X9" s="5"/>
      <c r="Y9" s="5"/>
      <c r="Z9" s="5"/>
      <c r="AA9" s="5"/>
      <c r="AB9" s="126"/>
      <c r="AC9" s="5"/>
      <c r="AD9" s="5"/>
      <c r="AE9" s="126"/>
      <c r="AF9" s="5"/>
      <c r="AG9" s="11"/>
      <c r="AH9" s="499"/>
    </row>
    <row r="10" spans="1:34" ht="9.75" customHeight="1">
      <c r="A10" s="460"/>
      <c r="B10" s="96"/>
      <c r="C10" s="550"/>
      <c r="D10" s="5"/>
      <c r="E10" s="11"/>
      <c r="F10" s="460"/>
      <c r="G10" s="5"/>
      <c r="H10" s="5"/>
      <c r="I10" s="5"/>
      <c r="J10" s="126"/>
      <c r="K10" s="5"/>
      <c r="L10" s="5"/>
      <c r="M10" s="5"/>
      <c r="N10" s="5"/>
      <c r="O10" s="5"/>
      <c r="P10" s="5"/>
      <c r="Q10" s="5"/>
      <c r="R10" s="5"/>
      <c r="S10" s="5"/>
      <c r="T10" s="61"/>
      <c r="U10" s="61"/>
      <c r="V10" s="5"/>
      <c r="W10" s="5"/>
      <c r="X10" s="5"/>
      <c r="Y10" s="5"/>
      <c r="Z10" s="5"/>
      <c r="AA10" s="5"/>
      <c r="AB10" s="126"/>
      <c r="AC10" s="5"/>
      <c r="AD10" s="5"/>
      <c r="AE10" s="126">
        <v>0</v>
      </c>
      <c r="AF10" s="5"/>
      <c r="AG10" s="11"/>
      <c r="AH10" s="499"/>
    </row>
    <row r="11" spans="1:34" ht="9.75" customHeight="1">
      <c r="A11" s="460"/>
      <c r="B11" s="96"/>
      <c r="C11" s="550"/>
      <c r="D11" s="5"/>
      <c r="E11" s="11"/>
      <c r="F11" s="460"/>
      <c r="G11" s="5">
        <v>0</v>
      </c>
      <c r="H11" s="5"/>
      <c r="I11" s="5"/>
      <c r="J11" s="126"/>
      <c r="K11" s="5"/>
      <c r="L11" s="5"/>
      <c r="M11" s="5"/>
      <c r="N11" s="5"/>
      <c r="O11" s="5"/>
      <c r="P11" s="5"/>
      <c r="Q11" s="5"/>
      <c r="R11" s="5"/>
      <c r="S11" s="5"/>
      <c r="T11" s="61"/>
      <c r="U11" s="61"/>
      <c r="V11" s="5"/>
      <c r="W11" s="5"/>
      <c r="X11" s="5"/>
      <c r="Y11" s="5"/>
      <c r="Z11" s="5"/>
      <c r="AA11" s="5"/>
      <c r="AB11" s="126"/>
      <c r="AC11" s="5"/>
      <c r="AD11" s="5"/>
      <c r="AE11" s="126"/>
      <c r="AF11" s="5"/>
      <c r="AG11" s="11"/>
      <c r="AH11" s="499"/>
    </row>
    <row r="12" spans="1:34" ht="9.75" customHeight="1" thickBot="1">
      <c r="A12" s="460"/>
      <c r="B12" s="96"/>
      <c r="C12" s="550"/>
      <c r="D12" s="5"/>
      <c r="E12" s="11"/>
      <c r="F12" s="460"/>
      <c r="G12" s="5"/>
      <c r="H12" s="5"/>
      <c r="I12" s="5"/>
      <c r="J12" s="126"/>
      <c r="K12" s="5"/>
      <c r="L12" s="5"/>
      <c r="M12" s="5"/>
      <c r="N12" s="5"/>
      <c r="O12" s="5"/>
      <c r="P12" s="5"/>
      <c r="Q12" s="5"/>
      <c r="R12" s="5"/>
      <c r="S12" s="5"/>
      <c r="T12" s="61"/>
      <c r="U12" s="61"/>
      <c r="V12" s="5"/>
      <c r="W12" s="5"/>
      <c r="X12" s="5"/>
      <c r="Y12" s="5"/>
      <c r="Z12" s="5"/>
      <c r="AA12" s="5"/>
      <c r="AB12" s="126">
        <v>0</v>
      </c>
      <c r="AC12" s="5"/>
      <c r="AD12" s="5"/>
      <c r="AE12" s="126"/>
      <c r="AF12" s="5"/>
      <c r="AG12" s="11"/>
      <c r="AH12" s="499"/>
    </row>
    <row r="13" spans="1:34" ht="9.75" customHeight="1">
      <c r="A13" s="461" t="s">
        <v>964</v>
      </c>
      <c r="B13" s="474">
        <f>A3</f>
        <v>9</v>
      </c>
      <c r="C13" s="653">
        <f>SUM(E13:AB13)</f>
        <v>60233</v>
      </c>
      <c r="D13" s="654"/>
      <c r="E13" s="118">
        <f>SUM(E2:E12)</f>
        <v>45412</v>
      </c>
      <c r="F13" s="530">
        <f>SUM(F2:F12)</f>
        <v>0</v>
      </c>
      <c r="G13" s="62">
        <f>SUM(G2:G12)</f>
        <v>0</v>
      </c>
      <c r="H13" s="62">
        <f>SUM(H2:H12)</f>
        <v>0</v>
      </c>
      <c r="I13" s="62">
        <f>SUM(I2:I12)</f>
        <v>0</v>
      </c>
      <c r="J13" s="657">
        <f>SUM(J2:J12)</f>
        <v>13</v>
      </c>
      <c r="K13" s="62">
        <f>SUM(K2:K12)</f>
        <v>0</v>
      </c>
      <c r="L13" s="62">
        <f>SUM(L2:L12)</f>
        <v>0</v>
      </c>
      <c r="M13" s="62">
        <f>SUM(M2:M12)</f>
        <v>0</v>
      </c>
      <c r="N13" s="62">
        <f>SUM(N2:N12)</f>
        <v>0</v>
      </c>
      <c r="O13" s="62">
        <f>SUM(O1:O12)</f>
        <v>0</v>
      </c>
      <c r="P13" s="62">
        <f>SUM(P2:P12)</f>
        <v>0</v>
      </c>
      <c r="Q13" s="62">
        <f>SUM(Q2:Q12)</f>
        <v>0</v>
      </c>
      <c r="R13" s="62">
        <f>SUM(R2:R12)</f>
        <v>0</v>
      </c>
      <c r="S13" s="62">
        <f>SUM(S2:S12)</f>
        <v>0</v>
      </c>
      <c r="T13" s="62">
        <f>SUM(T2:T12)</f>
        <v>0</v>
      </c>
      <c r="U13" s="62">
        <f>SUM(U2:U12)</f>
        <v>0</v>
      </c>
      <c r="V13" s="62">
        <f>SUM(V2:V12)</f>
        <v>4120</v>
      </c>
      <c r="W13" s="62">
        <f>SUM(W2:W12)</f>
        <v>0</v>
      </c>
      <c r="X13" s="62">
        <f>SUM(X2:X12)</f>
        <v>0</v>
      </c>
      <c r="Y13" s="62">
        <f>SUM(Y2:Y12)</f>
        <v>0</v>
      </c>
      <c r="Z13" s="62">
        <f>SUM(Z2:Z12)</f>
        <v>0</v>
      </c>
      <c r="AA13" s="62">
        <f>SUM(AA2:AA12)</f>
        <v>0</v>
      </c>
      <c r="AB13" s="544">
        <f>SUM(AB2:AB12)</f>
        <v>10688</v>
      </c>
      <c r="AC13" s="12">
        <f>E13</f>
        <v>45412</v>
      </c>
      <c r="AD13" s="12">
        <f>SUM(F13:AA13)</f>
        <v>4133</v>
      </c>
      <c r="AE13" s="495" t="s">
        <v>1105</v>
      </c>
      <c r="AF13" s="495" t="s">
        <v>951</v>
      </c>
      <c r="AG13" s="495" t="s">
        <v>979</v>
      </c>
      <c r="AH13" s="538" t="s">
        <v>349</v>
      </c>
    </row>
    <row r="14" spans="1:34" ht="9.75" customHeight="1">
      <c r="A14" s="459" t="s">
        <v>0</v>
      </c>
      <c r="B14" s="96">
        <v>34765</v>
      </c>
      <c r="C14" s="550" t="s">
        <v>1184</v>
      </c>
      <c r="D14" s="5" t="s">
        <v>1185</v>
      </c>
      <c r="E14" s="11"/>
      <c r="F14" s="460">
        <v>0</v>
      </c>
      <c r="G14" s="5"/>
      <c r="H14" s="5"/>
      <c r="I14" s="5"/>
      <c r="J14" s="126"/>
      <c r="K14" s="5"/>
      <c r="L14" s="5"/>
      <c r="M14" s="5"/>
      <c r="N14" s="5"/>
      <c r="O14" s="5"/>
      <c r="P14" s="5"/>
      <c r="Q14" s="5"/>
      <c r="R14" s="5"/>
      <c r="S14" s="5"/>
      <c r="T14" s="61"/>
      <c r="U14" s="61"/>
      <c r="V14" s="5"/>
      <c r="W14" s="5"/>
      <c r="X14" s="5"/>
      <c r="Y14" s="5"/>
      <c r="Z14" s="5"/>
      <c r="AA14" s="5"/>
      <c r="AB14" s="126"/>
      <c r="AC14" s="5">
        <f>AC2+AC13</f>
        <v>45412</v>
      </c>
      <c r="AD14" s="5">
        <f>AD2+AD13</f>
        <v>4133</v>
      </c>
      <c r="AE14" s="656">
        <v>34765</v>
      </c>
      <c r="AF14" s="5" t="s">
        <v>1186</v>
      </c>
      <c r="AG14" s="11" t="s">
        <v>1185</v>
      </c>
      <c r="AH14" s="499">
        <v>669</v>
      </c>
    </row>
    <row r="15" spans="1:34" ht="9.75" customHeight="1">
      <c r="A15" s="460">
        <v>10</v>
      </c>
      <c r="B15" s="96">
        <v>34765</v>
      </c>
      <c r="C15" s="550" t="s">
        <v>1187</v>
      </c>
      <c r="D15" s="5"/>
      <c r="E15" s="11"/>
      <c r="F15" s="460">
        <v>4748</v>
      </c>
      <c r="G15" s="5"/>
      <c r="H15" s="5"/>
      <c r="I15" s="5"/>
      <c r="J15" s="126">
        <v>0</v>
      </c>
      <c r="K15" s="5"/>
      <c r="L15" s="5"/>
      <c r="M15" s="5"/>
      <c r="N15" s="5"/>
      <c r="O15" s="5">
        <v>0</v>
      </c>
      <c r="P15" s="5"/>
      <c r="Q15" s="5"/>
      <c r="R15" s="5"/>
      <c r="S15" s="5"/>
      <c r="T15" s="61"/>
      <c r="U15" s="61"/>
      <c r="V15" s="5"/>
      <c r="W15" s="5">
        <v>0</v>
      </c>
      <c r="X15" s="5"/>
      <c r="Y15" s="5"/>
      <c r="Z15" s="5"/>
      <c r="AA15" s="5"/>
      <c r="AB15" s="126"/>
      <c r="AC15" s="5"/>
      <c r="AD15" s="5"/>
      <c r="AE15" s="126"/>
      <c r="AF15" s="5"/>
      <c r="AG15" s="11"/>
      <c r="AH15" s="499"/>
    </row>
    <row r="16" spans="1:34" ht="9.75" customHeight="1">
      <c r="A16" s="460"/>
      <c r="B16" s="96">
        <v>34765</v>
      </c>
      <c r="C16" s="550" t="s">
        <v>1188</v>
      </c>
      <c r="D16" s="5"/>
      <c r="E16" s="11"/>
      <c r="F16" s="460"/>
      <c r="G16" s="5"/>
      <c r="H16" s="5"/>
      <c r="I16" s="5"/>
      <c r="J16" s="126"/>
      <c r="K16" s="5"/>
      <c r="L16" s="5"/>
      <c r="M16" s="5">
        <v>0</v>
      </c>
      <c r="N16" s="5"/>
      <c r="O16" s="5"/>
      <c r="P16" s="5"/>
      <c r="Q16" s="5">
        <v>0</v>
      </c>
      <c r="R16" s="5"/>
      <c r="S16" s="5"/>
      <c r="T16" s="61"/>
      <c r="U16" s="61">
        <v>633</v>
      </c>
      <c r="V16" s="5"/>
      <c r="W16" s="5"/>
      <c r="X16" s="5"/>
      <c r="Y16" s="5"/>
      <c r="Z16" s="5"/>
      <c r="AA16" s="5"/>
      <c r="AB16" s="126"/>
      <c r="AC16" s="5"/>
      <c r="AD16" s="5"/>
      <c r="AE16" s="539"/>
      <c r="AF16" s="5"/>
      <c r="AG16" s="11"/>
      <c r="AH16" s="499">
        <v>0</v>
      </c>
    </row>
    <row r="17" spans="1:34" ht="9.75" customHeight="1">
      <c r="A17" s="460"/>
      <c r="B17" s="96">
        <v>34766</v>
      </c>
      <c r="C17" s="550" t="s">
        <v>1189</v>
      </c>
      <c r="D17" s="5"/>
      <c r="E17" s="11">
        <v>23310</v>
      </c>
      <c r="F17" s="460"/>
      <c r="G17" s="5"/>
      <c r="H17" s="5"/>
      <c r="I17" s="5"/>
      <c r="J17" s="126"/>
      <c r="K17" s="5"/>
      <c r="L17" s="5"/>
      <c r="M17" s="5">
        <v>0</v>
      </c>
      <c r="N17" s="5"/>
      <c r="O17" s="5"/>
      <c r="P17" s="5"/>
      <c r="Q17" s="5"/>
      <c r="R17" s="5"/>
      <c r="S17" s="5"/>
      <c r="T17" s="61">
        <v>0</v>
      </c>
      <c r="U17" s="61"/>
      <c r="V17" s="5"/>
      <c r="W17" s="5"/>
      <c r="X17" s="5"/>
      <c r="Y17" s="5"/>
      <c r="Z17" s="5"/>
      <c r="AA17" s="5"/>
      <c r="AB17" s="126"/>
      <c r="AC17" s="5"/>
      <c r="AD17" s="5"/>
      <c r="AE17" s="539"/>
      <c r="AF17" s="5"/>
      <c r="AG17" s="11"/>
      <c r="AH17" s="499">
        <v>0</v>
      </c>
    </row>
    <row r="18" spans="1:34" ht="9.75" customHeight="1">
      <c r="A18" s="460"/>
      <c r="B18" s="96">
        <v>34767</v>
      </c>
      <c r="C18" s="550" t="s">
        <v>1190</v>
      </c>
      <c r="D18" s="5"/>
      <c r="E18" s="11"/>
      <c r="F18" s="460"/>
      <c r="G18" s="5"/>
      <c r="H18" s="5"/>
      <c r="I18" s="5"/>
      <c r="J18" s="126"/>
      <c r="K18" s="5"/>
      <c r="L18" s="5"/>
      <c r="M18" s="5"/>
      <c r="N18" s="5"/>
      <c r="O18" s="5"/>
      <c r="P18" s="5"/>
      <c r="Q18" s="5">
        <f>11621-1385</f>
        <v>10236</v>
      </c>
      <c r="R18" s="5"/>
      <c r="S18" s="5"/>
      <c r="T18" s="61"/>
      <c r="U18" s="61"/>
      <c r="V18" s="5">
        <v>0</v>
      </c>
      <c r="W18" s="5"/>
      <c r="X18" s="5"/>
      <c r="Y18" s="5"/>
      <c r="Z18" s="5"/>
      <c r="AA18" s="5"/>
      <c r="AB18" s="126"/>
      <c r="AC18" s="5"/>
      <c r="AD18" s="5"/>
      <c r="AE18" s="656">
        <v>34767</v>
      </c>
      <c r="AF18" s="5" t="s">
        <v>1191</v>
      </c>
      <c r="AG18" s="11" t="s">
        <v>1192</v>
      </c>
      <c r="AH18" s="499">
        <v>1385</v>
      </c>
    </row>
    <row r="19" spans="1:34" ht="9.75" customHeight="1">
      <c r="A19" s="460"/>
      <c r="B19" s="96">
        <v>34767</v>
      </c>
      <c r="C19" s="550" t="s">
        <v>1195</v>
      </c>
      <c r="D19" s="5" t="s">
        <v>1196</v>
      </c>
      <c r="E19" s="11"/>
      <c r="F19" s="460"/>
      <c r="G19" s="5"/>
      <c r="H19" s="5"/>
      <c r="I19" s="5"/>
      <c r="J19" s="126">
        <v>11</v>
      </c>
      <c r="K19" s="5"/>
      <c r="L19" s="5"/>
      <c r="M19" s="5"/>
      <c r="N19" s="5"/>
      <c r="O19" s="5"/>
      <c r="P19" s="5"/>
      <c r="Q19" s="5"/>
      <c r="R19" s="5"/>
      <c r="S19" s="5"/>
      <c r="T19" s="61"/>
      <c r="U19" s="61"/>
      <c r="V19" s="5"/>
      <c r="W19" s="5"/>
      <c r="X19" s="5"/>
      <c r="Y19" s="5"/>
      <c r="Z19" s="5"/>
      <c r="AA19" s="5"/>
      <c r="AB19" s="126"/>
      <c r="AC19" s="5"/>
      <c r="AD19" s="5"/>
      <c r="AE19" s="126"/>
      <c r="AF19" s="5"/>
      <c r="AG19" s="11"/>
      <c r="AH19" s="499"/>
    </row>
    <row r="20" spans="1:34" ht="9.75" customHeight="1">
      <c r="A20" s="460"/>
      <c r="B20" s="96">
        <v>34767</v>
      </c>
      <c r="C20" s="550" t="s">
        <v>1198</v>
      </c>
      <c r="D20" s="5" t="s">
        <v>1197</v>
      </c>
      <c r="E20" s="11"/>
      <c r="F20" s="460"/>
      <c r="G20" s="5">
        <v>0</v>
      </c>
      <c r="H20" s="5"/>
      <c r="I20" s="5"/>
      <c r="J20" s="126">
        <v>72</v>
      </c>
      <c r="K20" s="5"/>
      <c r="L20" s="5"/>
      <c r="M20" s="5"/>
      <c r="N20" s="5"/>
      <c r="O20" s="5"/>
      <c r="P20" s="5"/>
      <c r="Q20" s="5"/>
      <c r="R20" s="5"/>
      <c r="S20" s="5"/>
      <c r="T20" s="61"/>
      <c r="U20" s="61"/>
      <c r="V20" s="5"/>
      <c r="W20" s="5"/>
      <c r="X20" s="5"/>
      <c r="Y20" s="5"/>
      <c r="Z20" s="5"/>
      <c r="AA20" s="5"/>
      <c r="AB20" s="126"/>
      <c r="AC20" s="5"/>
      <c r="AD20" s="5"/>
      <c r="AE20" s="126"/>
      <c r="AF20" s="5"/>
      <c r="AG20" s="11"/>
      <c r="AH20" s="499"/>
    </row>
    <row r="21" spans="1:34" ht="9.75" customHeight="1">
      <c r="A21" s="460"/>
      <c r="B21" s="96"/>
      <c r="C21" s="550"/>
      <c r="D21" s="5"/>
      <c r="E21" s="11"/>
      <c r="F21" s="460"/>
      <c r="G21" s="5"/>
      <c r="H21" s="5"/>
      <c r="I21" s="5"/>
      <c r="J21" s="126"/>
      <c r="K21" s="5"/>
      <c r="L21" s="5"/>
      <c r="M21" s="5"/>
      <c r="N21" s="5"/>
      <c r="O21" s="5"/>
      <c r="P21" s="5"/>
      <c r="Q21" s="5"/>
      <c r="R21" s="5"/>
      <c r="S21" s="5"/>
      <c r="T21" s="61"/>
      <c r="U21" s="61"/>
      <c r="V21" s="5"/>
      <c r="W21" s="5"/>
      <c r="X21" s="5"/>
      <c r="Y21" s="5"/>
      <c r="Z21" s="5"/>
      <c r="AA21" s="5"/>
      <c r="AB21" s="126"/>
      <c r="AC21" s="5"/>
      <c r="AD21" s="5"/>
      <c r="AE21" s="126"/>
      <c r="AF21" s="5"/>
      <c r="AG21" s="11"/>
      <c r="AH21" s="499"/>
    </row>
    <row r="22" spans="1:34" ht="9.75" customHeight="1">
      <c r="A22" s="460"/>
      <c r="B22" s="96"/>
      <c r="C22" s="550"/>
      <c r="D22" s="5"/>
      <c r="E22" s="11"/>
      <c r="F22" s="460"/>
      <c r="G22" s="5"/>
      <c r="H22" s="5"/>
      <c r="I22" s="5"/>
      <c r="J22" s="126"/>
      <c r="K22" s="5"/>
      <c r="L22" s="5">
        <v>0</v>
      </c>
      <c r="M22" s="5"/>
      <c r="N22" s="5"/>
      <c r="O22" s="5"/>
      <c r="P22" s="5"/>
      <c r="Q22" s="5"/>
      <c r="R22" s="5"/>
      <c r="S22" s="5"/>
      <c r="T22" s="61"/>
      <c r="U22" s="61"/>
      <c r="V22" s="5"/>
      <c r="W22" s="5"/>
      <c r="X22" s="5"/>
      <c r="Y22" s="5"/>
      <c r="Z22" s="5"/>
      <c r="AA22" s="5"/>
      <c r="AB22" s="126"/>
      <c r="AC22" s="5"/>
      <c r="AD22" s="5"/>
      <c r="AE22" s="126"/>
      <c r="AF22" s="5"/>
      <c r="AG22" s="11"/>
      <c r="AH22" s="499"/>
    </row>
    <row r="23" spans="1:34" ht="9.75" customHeight="1">
      <c r="A23" s="460"/>
      <c r="B23" s="96"/>
      <c r="C23" s="550"/>
      <c r="D23" s="5"/>
      <c r="E23" s="11"/>
      <c r="F23" s="460"/>
      <c r="G23" s="5"/>
      <c r="H23" s="5"/>
      <c r="I23" s="5"/>
      <c r="J23" s="126"/>
      <c r="K23" s="5"/>
      <c r="L23" s="5">
        <v>0</v>
      </c>
      <c r="M23" s="5"/>
      <c r="N23" s="5"/>
      <c r="O23" s="5"/>
      <c r="P23" s="5"/>
      <c r="Q23" s="5"/>
      <c r="R23" s="5"/>
      <c r="S23" s="5"/>
      <c r="T23" s="61"/>
      <c r="U23" s="61"/>
      <c r="V23" s="5"/>
      <c r="W23" s="5"/>
      <c r="X23" s="5"/>
      <c r="Y23" s="5"/>
      <c r="Z23" s="5"/>
      <c r="AA23" s="5"/>
      <c r="AB23" s="126"/>
      <c r="AC23" s="5"/>
      <c r="AD23" s="5"/>
      <c r="AE23" s="126"/>
      <c r="AF23" s="5"/>
      <c r="AG23" s="11"/>
      <c r="AH23" s="499"/>
    </row>
    <row r="24" spans="1:34" ht="9.75" customHeight="1" thickBot="1">
      <c r="A24" s="460"/>
      <c r="B24" s="96"/>
      <c r="C24" s="550"/>
      <c r="D24" s="5"/>
      <c r="E24" s="11">
        <v>0</v>
      </c>
      <c r="F24" s="460"/>
      <c r="G24" s="5"/>
      <c r="H24" s="5"/>
      <c r="I24" s="5"/>
      <c r="J24" s="126"/>
      <c r="K24" s="5"/>
      <c r="L24" s="5"/>
      <c r="M24" s="5"/>
      <c r="N24" s="5"/>
      <c r="O24" s="5"/>
      <c r="P24" s="5"/>
      <c r="Q24" s="5"/>
      <c r="R24" s="5"/>
      <c r="S24" s="5"/>
      <c r="T24" s="61"/>
      <c r="U24" s="61"/>
      <c r="V24" s="5"/>
      <c r="W24" s="5"/>
      <c r="X24" s="5"/>
      <c r="Y24" s="5"/>
      <c r="Z24" s="5"/>
      <c r="AA24" s="5"/>
      <c r="AB24" s="126"/>
      <c r="AC24" s="5"/>
      <c r="AD24" s="5"/>
      <c r="AE24" s="126"/>
      <c r="AF24" s="5"/>
      <c r="AG24" s="11"/>
      <c r="AH24" s="499"/>
    </row>
    <row r="25" spans="1:34" ht="9.75" customHeight="1">
      <c r="A25" s="461" t="s">
        <v>964</v>
      </c>
      <c r="B25" s="474">
        <f>A15</f>
        <v>10</v>
      </c>
      <c r="C25" s="653">
        <f>SUM(E25:AB25)</f>
        <v>39010</v>
      </c>
      <c r="D25" s="654"/>
      <c r="E25" s="118">
        <f>SUM(E14:E24)</f>
        <v>23310</v>
      </c>
      <c r="F25" s="530">
        <f>SUM(F14:F24)</f>
        <v>4748</v>
      </c>
      <c r="G25" s="62">
        <f>SUM(G14:G24)</f>
        <v>0</v>
      </c>
      <c r="H25" s="62">
        <f>SUM(H14:H24)</f>
        <v>0</v>
      </c>
      <c r="I25" s="62">
        <f>SUM(I14:I24)</f>
        <v>0</v>
      </c>
      <c r="J25" s="657">
        <f>SUM(J14:J24)</f>
        <v>83</v>
      </c>
      <c r="K25" s="62">
        <f>SUM(K14:K24)</f>
        <v>0</v>
      </c>
      <c r="L25" s="62">
        <f>SUM(L14:L24)</f>
        <v>0</v>
      </c>
      <c r="M25" s="62">
        <f>SUM(M14:M24)</f>
        <v>0</v>
      </c>
      <c r="N25" s="62">
        <f>SUM(N14:N24)</f>
        <v>0</v>
      </c>
      <c r="O25" s="62">
        <f>SUM(O14:O24)</f>
        <v>0</v>
      </c>
      <c r="P25" s="62">
        <f>SUM(P14:P24)</f>
        <v>0</v>
      </c>
      <c r="Q25" s="62">
        <f>SUM(Q14:Q24)</f>
        <v>10236</v>
      </c>
      <c r="R25" s="62">
        <f>SUM(R14:R24)</f>
        <v>0</v>
      </c>
      <c r="S25" s="62">
        <f>SUM(S14:S24)</f>
        <v>0</v>
      </c>
      <c r="T25" s="62">
        <f>SUM(T14:T24)</f>
        <v>0</v>
      </c>
      <c r="U25" s="62">
        <f>SUM(U14:U24)</f>
        <v>633</v>
      </c>
      <c r="V25" s="62">
        <f>SUM(V14:V24)</f>
        <v>0</v>
      </c>
      <c r="W25" s="62">
        <f>SUM(W14:W24)</f>
        <v>0</v>
      </c>
      <c r="X25" s="62">
        <f>SUM(X14:X24)</f>
        <v>0</v>
      </c>
      <c r="Y25" s="62">
        <f>SUM(Y14:Y24)</f>
        <v>0</v>
      </c>
      <c r="Z25" s="62">
        <f>SUM(Z14:Z24)</f>
        <v>0</v>
      </c>
      <c r="AA25" s="62">
        <f>SUM(AA14:AA24)</f>
        <v>0</v>
      </c>
      <c r="AB25" s="545">
        <f>SUM(AB14:AB24)</f>
        <v>0</v>
      </c>
      <c r="AC25" s="12">
        <f>E25</f>
        <v>23310</v>
      </c>
      <c r="AD25" s="12">
        <f>SUM(F25:AA25)</f>
        <v>15700</v>
      </c>
      <c r="AE25" s="495" t="s">
        <v>1105</v>
      </c>
      <c r="AF25" s="495" t="s">
        <v>951</v>
      </c>
      <c r="AG25" s="495" t="s">
        <v>979</v>
      </c>
      <c r="AH25" s="538" t="s">
        <v>349</v>
      </c>
    </row>
    <row r="26" spans="1:34" ht="9.75" customHeight="1">
      <c r="A26" s="459" t="s">
        <v>0</v>
      </c>
      <c r="B26" s="96"/>
      <c r="C26" s="552"/>
      <c r="D26" s="5"/>
      <c r="E26" s="11">
        <v>0</v>
      </c>
      <c r="F26" s="460">
        <v>0</v>
      </c>
      <c r="G26" s="5"/>
      <c r="H26" s="5">
        <v>0</v>
      </c>
      <c r="I26" s="5"/>
      <c r="J26" s="126"/>
      <c r="K26" s="5"/>
      <c r="L26" s="5"/>
      <c r="M26" s="5"/>
      <c r="N26" s="5"/>
      <c r="O26" s="5"/>
      <c r="P26" s="5"/>
      <c r="Q26" s="5"/>
      <c r="R26" s="5"/>
      <c r="S26" s="5"/>
      <c r="T26" s="61"/>
      <c r="U26" s="61"/>
      <c r="V26" s="5"/>
      <c r="W26" s="5"/>
      <c r="X26" s="5"/>
      <c r="Y26" s="5"/>
      <c r="Z26" s="5"/>
      <c r="AA26" s="5"/>
      <c r="AB26" s="126">
        <v>0</v>
      </c>
      <c r="AC26" s="5">
        <f>AC14+AC25</f>
        <v>68722</v>
      </c>
      <c r="AD26" s="5">
        <f>AD14+AD25</f>
        <v>19833</v>
      </c>
      <c r="AE26" s="539"/>
      <c r="AF26" s="5"/>
      <c r="AG26" s="11"/>
      <c r="AH26" s="499">
        <v>0</v>
      </c>
    </row>
    <row r="27" spans="1:34" ht="9.75" customHeight="1">
      <c r="A27" s="460">
        <v>11</v>
      </c>
      <c r="B27" s="96"/>
      <c r="C27" s="552"/>
      <c r="D27" s="5"/>
      <c r="E27" s="11"/>
      <c r="F27" s="460"/>
      <c r="G27" s="5"/>
      <c r="H27" s="5">
        <v>0</v>
      </c>
      <c r="I27" s="5"/>
      <c r="J27" s="126"/>
      <c r="K27" s="5">
        <v>0</v>
      </c>
      <c r="L27" s="5"/>
      <c r="M27" s="5"/>
      <c r="N27" s="5"/>
      <c r="O27" s="5"/>
      <c r="P27" s="5"/>
      <c r="Q27" s="5"/>
      <c r="R27" s="5"/>
      <c r="S27" s="5"/>
      <c r="T27" s="61"/>
      <c r="U27" s="61"/>
      <c r="V27" s="5"/>
      <c r="W27" s="5"/>
      <c r="X27" s="5"/>
      <c r="Y27" s="5"/>
      <c r="Z27" s="5"/>
      <c r="AA27" s="5"/>
      <c r="AB27" s="126"/>
      <c r="AC27" s="5"/>
      <c r="AD27" s="5"/>
      <c r="AE27" s="539"/>
      <c r="AF27" s="5"/>
      <c r="AG27" s="11"/>
      <c r="AH27" s="499">
        <v>0</v>
      </c>
    </row>
    <row r="28" spans="1:34" ht="9.75" customHeight="1">
      <c r="A28" s="460"/>
      <c r="B28" s="96"/>
      <c r="C28" s="552"/>
      <c r="D28" s="5"/>
      <c r="E28" s="11">
        <v>0</v>
      </c>
      <c r="F28" s="460">
        <v>0</v>
      </c>
      <c r="G28" s="5"/>
      <c r="H28" s="5"/>
      <c r="I28" s="5"/>
      <c r="J28" s="126"/>
      <c r="K28" s="5"/>
      <c r="L28" s="5"/>
      <c r="M28" s="5"/>
      <c r="N28" s="5"/>
      <c r="O28" s="5"/>
      <c r="P28" s="5"/>
      <c r="Q28" s="5"/>
      <c r="R28" s="5"/>
      <c r="S28" s="5"/>
      <c r="T28" s="61"/>
      <c r="U28" s="61"/>
      <c r="V28" s="5"/>
      <c r="W28" s="5"/>
      <c r="X28" s="5"/>
      <c r="Y28" s="5"/>
      <c r="Z28" s="5"/>
      <c r="AA28" s="5"/>
      <c r="AB28" s="126"/>
      <c r="AC28" s="5"/>
      <c r="AD28" s="5"/>
      <c r="AE28" s="539"/>
      <c r="AF28" s="5"/>
      <c r="AG28" s="11"/>
      <c r="AH28" s="499"/>
    </row>
    <row r="29" spans="1:34" ht="9.75" customHeight="1">
      <c r="A29" s="460"/>
      <c r="B29" s="96"/>
      <c r="C29" s="552"/>
      <c r="D29" s="5"/>
      <c r="E29" s="11"/>
      <c r="F29" s="460">
        <v>0</v>
      </c>
      <c r="G29" s="5"/>
      <c r="H29" s="5">
        <v>0</v>
      </c>
      <c r="I29" s="5"/>
      <c r="J29" s="126"/>
      <c r="K29" s="5"/>
      <c r="L29" s="5"/>
      <c r="M29" s="5"/>
      <c r="N29" s="5"/>
      <c r="O29" s="5"/>
      <c r="P29" s="5"/>
      <c r="Q29" s="5"/>
      <c r="R29" s="5">
        <v>0</v>
      </c>
      <c r="S29" s="5"/>
      <c r="T29" s="61"/>
      <c r="U29" s="61"/>
      <c r="V29" s="5"/>
      <c r="W29" s="5"/>
      <c r="X29" s="5"/>
      <c r="Y29" s="5"/>
      <c r="Z29" s="5"/>
      <c r="AA29" s="5"/>
      <c r="AB29" s="126"/>
      <c r="AC29" s="5"/>
      <c r="AD29" s="5"/>
      <c r="AE29" s="539"/>
      <c r="AF29" s="5"/>
      <c r="AG29" s="11"/>
      <c r="AH29" s="499"/>
    </row>
    <row r="30" spans="1:34" ht="9.75" customHeight="1">
      <c r="A30" s="460"/>
      <c r="B30" s="96"/>
      <c r="C30" s="552"/>
      <c r="D30" s="5"/>
      <c r="E30" s="11">
        <v>0</v>
      </c>
      <c r="F30" s="460"/>
      <c r="G30" s="5"/>
      <c r="H30" s="5"/>
      <c r="I30" s="5"/>
      <c r="J30" s="126"/>
      <c r="K30" s="5"/>
      <c r="L30" s="5"/>
      <c r="M30" s="5"/>
      <c r="N30" s="5"/>
      <c r="O30" s="5"/>
      <c r="P30" s="5"/>
      <c r="Q30" s="5">
        <v>0</v>
      </c>
      <c r="R30" s="5"/>
      <c r="S30" s="5"/>
      <c r="T30" s="61"/>
      <c r="U30" s="61"/>
      <c r="V30" s="5"/>
      <c r="W30" s="5"/>
      <c r="X30" s="5"/>
      <c r="Y30" s="5"/>
      <c r="Z30" s="5"/>
      <c r="AA30" s="5"/>
      <c r="AB30" s="126"/>
      <c r="AC30" s="5"/>
      <c r="AD30" s="5"/>
      <c r="AE30" s="539"/>
      <c r="AF30" s="5"/>
      <c r="AG30" s="11"/>
      <c r="AH30" s="499"/>
    </row>
    <row r="31" spans="1:34" ht="9.75" customHeight="1">
      <c r="A31" s="460"/>
      <c r="B31" s="96"/>
      <c r="C31" s="551"/>
      <c r="D31" s="5"/>
      <c r="E31" s="11">
        <v>0</v>
      </c>
      <c r="F31" s="459"/>
      <c r="G31" s="5"/>
      <c r="H31" s="5">
        <v>0</v>
      </c>
      <c r="I31" s="5"/>
      <c r="J31" s="126"/>
      <c r="K31" s="5"/>
      <c r="L31" s="5"/>
      <c r="M31" s="5"/>
      <c r="N31" s="5"/>
      <c r="O31" s="5"/>
      <c r="P31" s="5"/>
      <c r="Q31" s="5"/>
      <c r="R31" s="5"/>
      <c r="S31" s="5"/>
      <c r="T31" s="61"/>
      <c r="U31" s="61"/>
      <c r="V31" s="5"/>
      <c r="W31" s="5"/>
      <c r="X31" s="5"/>
      <c r="Y31" s="5"/>
      <c r="Z31" s="5"/>
      <c r="AA31" s="5"/>
      <c r="AB31" s="126">
        <v>0</v>
      </c>
      <c r="AC31" s="5"/>
      <c r="AD31" s="5"/>
      <c r="AE31" s="539"/>
      <c r="AF31" s="5"/>
      <c r="AG31" s="11"/>
      <c r="AH31" s="499"/>
    </row>
    <row r="32" spans="1:34" ht="9.75" customHeight="1">
      <c r="A32" s="460"/>
      <c r="B32" s="96"/>
      <c r="C32" s="551"/>
      <c r="D32" s="5"/>
      <c r="E32" s="11"/>
      <c r="F32" s="459"/>
      <c r="G32" s="5"/>
      <c r="H32" s="5"/>
      <c r="I32" s="5"/>
      <c r="J32" s="126"/>
      <c r="K32" s="5"/>
      <c r="L32" s="5"/>
      <c r="M32" s="5"/>
      <c r="N32" s="5"/>
      <c r="O32" s="5"/>
      <c r="P32" s="5"/>
      <c r="Q32" s="5"/>
      <c r="R32" s="5"/>
      <c r="S32" s="5"/>
      <c r="T32" s="61"/>
      <c r="U32" s="61"/>
      <c r="V32" s="5"/>
      <c r="W32" s="5"/>
      <c r="X32" s="5"/>
      <c r="Y32" s="5"/>
      <c r="Z32" s="5">
        <v>0</v>
      </c>
      <c r="AA32" s="5"/>
      <c r="AB32" s="126"/>
      <c r="AC32" s="5"/>
      <c r="AD32" s="5"/>
      <c r="AE32" s="539"/>
      <c r="AF32" s="5"/>
      <c r="AG32" s="11"/>
      <c r="AH32" s="499"/>
    </row>
    <row r="33" spans="1:34" ht="9.75" customHeight="1">
      <c r="A33" s="460"/>
      <c r="B33" s="96"/>
      <c r="C33" s="551"/>
      <c r="D33" s="5"/>
      <c r="E33" s="11"/>
      <c r="F33" s="459">
        <v>0</v>
      </c>
      <c r="G33" s="5"/>
      <c r="H33" s="5"/>
      <c r="I33" s="5"/>
      <c r="J33" s="126"/>
      <c r="K33" s="5"/>
      <c r="L33" s="5"/>
      <c r="M33" s="5"/>
      <c r="N33" s="5"/>
      <c r="O33" s="5"/>
      <c r="P33" s="5"/>
      <c r="Q33" s="5"/>
      <c r="R33" s="5"/>
      <c r="S33" s="5"/>
      <c r="T33" s="61"/>
      <c r="U33" s="61"/>
      <c r="V33" s="5"/>
      <c r="W33" s="5"/>
      <c r="X33" s="5"/>
      <c r="Y33" s="5"/>
      <c r="Z33" s="5"/>
      <c r="AA33" s="5"/>
      <c r="AB33" s="126"/>
      <c r="AC33" s="5"/>
      <c r="AD33" s="5"/>
      <c r="AE33" s="539"/>
      <c r="AF33" s="5"/>
      <c r="AG33" s="11"/>
      <c r="AH33" s="499"/>
    </row>
    <row r="34" spans="1:34" ht="9.75" customHeight="1">
      <c r="A34" s="460"/>
      <c r="B34" s="96"/>
      <c r="C34" s="551"/>
      <c r="D34" s="5"/>
      <c r="E34" s="11"/>
      <c r="F34" s="459"/>
      <c r="G34" s="5"/>
      <c r="H34" s="5"/>
      <c r="I34" s="5"/>
      <c r="J34" s="126"/>
      <c r="K34" s="5"/>
      <c r="L34" s="5"/>
      <c r="M34" s="5"/>
      <c r="N34" s="5"/>
      <c r="O34" s="5"/>
      <c r="P34" s="5"/>
      <c r="Q34" s="5"/>
      <c r="R34" s="5"/>
      <c r="S34" s="5"/>
      <c r="T34" s="61"/>
      <c r="U34" s="61"/>
      <c r="V34" s="5"/>
      <c r="W34" s="5"/>
      <c r="X34" s="5"/>
      <c r="Y34" s="5"/>
      <c r="Z34" s="5"/>
      <c r="AA34" s="5"/>
      <c r="AB34" s="126"/>
      <c r="AC34" s="5"/>
      <c r="AD34" s="5"/>
      <c r="AE34" s="539"/>
      <c r="AF34" s="5"/>
      <c r="AG34" s="11"/>
      <c r="AH34" s="499"/>
    </row>
    <row r="35" spans="1:34" ht="9.75" customHeight="1">
      <c r="A35" s="460"/>
      <c r="B35" s="96"/>
      <c r="C35" s="551"/>
      <c r="D35" s="5"/>
      <c r="E35" s="11"/>
      <c r="F35" s="459"/>
      <c r="G35" s="5"/>
      <c r="H35" s="5"/>
      <c r="I35" s="5">
        <v>0</v>
      </c>
      <c r="J35" s="126"/>
      <c r="K35" s="5"/>
      <c r="L35" s="5"/>
      <c r="M35" s="5"/>
      <c r="N35" s="5"/>
      <c r="O35" s="5"/>
      <c r="P35" s="5"/>
      <c r="Q35" s="5"/>
      <c r="R35" s="5"/>
      <c r="S35" s="5"/>
      <c r="T35" s="61"/>
      <c r="U35" s="61"/>
      <c r="V35" s="5"/>
      <c r="W35" s="5"/>
      <c r="X35" s="5"/>
      <c r="Y35" s="5"/>
      <c r="Z35" s="5"/>
      <c r="AA35" s="5"/>
      <c r="AB35" s="126"/>
      <c r="AC35" s="5"/>
      <c r="AD35" s="5"/>
      <c r="AE35" s="539">
        <v>0</v>
      </c>
      <c r="AF35" s="5"/>
      <c r="AG35" s="11"/>
      <c r="AH35" s="499"/>
    </row>
    <row r="36" spans="1:34" ht="9.75" customHeight="1" thickBot="1">
      <c r="A36" s="460"/>
      <c r="B36" s="96"/>
      <c r="C36" s="551"/>
      <c r="D36" s="5"/>
      <c r="E36" s="11"/>
      <c r="F36" s="459"/>
      <c r="G36" s="5"/>
      <c r="H36" s="5"/>
      <c r="I36" s="5"/>
      <c r="J36" s="126"/>
      <c r="K36" s="5"/>
      <c r="L36" s="5"/>
      <c r="M36" s="5"/>
      <c r="N36" s="5"/>
      <c r="O36" s="5"/>
      <c r="P36" s="5"/>
      <c r="Q36" s="5"/>
      <c r="R36" s="5"/>
      <c r="S36" s="5"/>
      <c r="T36" s="61"/>
      <c r="U36" s="61"/>
      <c r="V36" s="5"/>
      <c r="W36" s="5"/>
      <c r="X36" s="5"/>
      <c r="Y36" s="5"/>
      <c r="Z36" s="5"/>
      <c r="AA36" s="5"/>
      <c r="AB36" s="126"/>
      <c r="AC36" s="5"/>
      <c r="AD36" s="5"/>
      <c r="AE36" s="539">
        <v>0</v>
      </c>
      <c r="AF36" s="5"/>
      <c r="AG36" s="11"/>
      <c r="AH36" s="499"/>
    </row>
    <row r="37" spans="1:34" ht="9.75" customHeight="1">
      <c r="A37" s="461" t="s">
        <v>964</v>
      </c>
      <c r="B37" s="475">
        <f>A27</f>
        <v>11</v>
      </c>
      <c r="C37" s="653">
        <f>SUM(E37:AB37)</f>
        <v>0</v>
      </c>
      <c r="D37" s="654"/>
      <c r="E37" s="118">
        <f>SUM(E26:E36)</f>
        <v>0</v>
      </c>
      <c r="F37" s="530">
        <f>SUM(F26:F36)</f>
        <v>0</v>
      </c>
      <c r="G37" s="62">
        <f>SUM(G26:G36)</f>
        <v>0</v>
      </c>
      <c r="H37" s="62">
        <f>SUM(H26:H36)</f>
        <v>0</v>
      </c>
      <c r="I37" s="62">
        <f>SUM(I26:I36)</f>
        <v>0</v>
      </c>
      <c r="J37" s="657">
        <f>SUM(J26:J36)</f>
        <v>0</v>
      </c>
      <c r="K37" s="62">
        <f>SUM(K26:K36)</f>
        <v>0</v>
      </c>
      <c r="L37" s="62">
        <f>SUM(L26:L36)</f>
        <v>0</v>
      </c>
      <c r="M37" s="62">
        <f>SUM(M26:M36)</f>
        <v>0</v>
      </c>
      <c r="N37" s="62">
        <f>SUM(N26:N36)</f>
        <v>0</v>
      </c>
      <c r="O37" s="62">
        <f>SUM(O26:O36)</f>
        <v>0</v>
      </c>
      <c r="P37" s="62">
        <f>SUM(P26:P36)</f>
        <v>0</v>
      </c>
      <c r="Q37" s="62">
        <f>SUM(Q26:Q36)</f>
        <v>0</v>
      </c>
      <c r="R37" s="62">
        <f>SUM(R26:R36)</f>
        <v>0</v>
      </c>
      <c r="S37" s="62">
        <f>SUM(S26:S36)</f>
        <v>0</v>
      </c>
      <c r="T37" s="62">
        <f>SUM(T26:T36)</f>
        <v>0</v>
      </c>
      <c r="U37" s="62">
        <f>SUM(U26:U36)</f>
        <v>0</v>
      </c>
      <c r="V37" s="62">
        <f>SUM(V26:V36)</f>
        <v>0</v>
      </c>
      <c r="W37" s="62">
        <f>SUM(W26:W36)</f>
        <v>0</v>
      </c>
      <c r="X37" s="62">
        <f>SUM(X26:X36)</f>
        <v>0</v>
      </c>
      <c r="Y37" s="62">
        <f>SUM(Y26:Y36)</f>
        <v>0</v>
      </c>
      <c r="Z37" s="62">
        <f>SUM(Z26:Z36)</f>
        <v>0</v>
      </c>
      <c r="AA37" s="62">
        <f>SUM(AA26:AA36)</f>
        <v>0</v>
      </c>
      <c r="AB37" s="545">
        <f>SUM(AB26:AB36)</f>
        <v>0</v>
      </c>
      <c r="AC37" s="12">
        <f>E37</f>
        <v>0</v>
      </c>
      <c r="AD37" s="12">
        <f>SUM(F37:AA37)</f>
        <v>0</v>
      </c>
      <c r="AE37" s="495" t="s">
        <v>1105</v>
      </c>
      <c r="AF37" s="495" t="s">
        <v>951</v>
      </c>
      <c r="AG37" s="495" t="s">
        <v>979</v>
      </c>
      <c r="AH37" s="538" t="s">
        <v>349</v>
      </c>
    </row>
    <row r="38" spans="1:34" ht="9.75" customHeight="1">
      <c r="A38" s="459" t="s">
        <v>0</v>
      </c>
      <c r="B38" s="96"/>
      <c r="C38" s="552"/>
      <c r="D38" s="5"/>
      <c r="E38" s="11">
        <v>0</v>
      </c>
      <c r="F38" s="460">
        <v>0</v>
      </c>
      <c r="G38" s="5"/>
      <c r="H38" s="5">
        <v>0</v>
      </c>
      <c r="I38" s="5"/>
      <c r="J38" s="126"/>
      <c r="K38" s="5"/>
      <c r="L38" s="5"/>
      <c r="M38" s="5"/>
      <c r="N38" s="5"/>
      <c r="O38" s="5"/>
      <c r="P38" s="5"/>
      <c r="Q38" s="5"/>
      <c r="R38" s="5"/>
      <c r="S38" s="5"/>
      <c r="T38" s="61"/>
      <c r="U38" s="61"/>
      <c r="V38" s="5"/>
      <c r="W38" s="5"/>
      <c r="X38" s="5"/>
      <c r="Y38" s="5"/>
      <c r="Z38" s="5"/>
      <c r="AA38" s="5"/>
      <c r="AB38" s="126"/>
      <c r="AC38" s="5">
        <f>AC26+AC37</f>
        <v>68722</v>
      </c>
      <c r="AD38" s="5">
        <f>AD26+AD37</f>
        <v>19833</v>
      </c>
      <c r="AE38" s="126"/>
      <c r="AF38" s="5"/>
      <c r="AG38" s="11"/>
      <c r="AH38" s="499"/>
    </row>
    <row r="39" spans="1:34" ht="9.75" customHeight="1">
      <c r="A39" s="460">
        <v>12</v>
      </c>
      <c r="B39" s="96"/>
      <c r="C39" s="552"/>
      <c r="D39" s="5"/>
      <c r="E39" s="11"/>
      <c r="F39" s="460"/>
      <c r="G39" s="5"/>
      <c r="H39" s="5">
        <v>0</v>
      </c>
      <c r="I39" s="5"/>
      <c r="J39" s="126"/>
      <c r="K39" s="5">
        <v>0</v>
      </c>
      <c r="L39" s="5"/>
      <c r="M39" s="5"/>
      <c r="N39" s="5"/>
      <c r="O39" s="5"/>
      <c r="P39" s="5"/>
      <c r="Q39" s="5"/>
      <c r="R39" s="5"/>
      <c r="S39" s="5"/>
      <c r="T39" s="61"/>
      <c r="U39" s="61"/>
      <c r="V39" s="5">
        <v>0</v>
      </c>
      <c r="W39" s="5"/>
      <c r="X39" s="5"/>
      <c r="Y39" s="5"/>
      <c r="Z39" s="5"/>
      <c r="AA39" s="5"/>
      <c r="AB39" s="126"/>
      <c r="AC39" s="5"/>
      <c r="AD39" s="5"/>
      <c r="AE39" s="126"/>
      <c r="AF39" s="5"/>
      <c r="AG39" s="11"/>
      <c r="AH39" s="499"/>
    </row>
    <row r="40" spans="1:34" ht="9.75" customHeight="1">
      <c r="A40" s="460"/>
      <c r="B40" s="96"/>
      <c r="C40" s="552"/>
      <c r="D40" s="5"/>
      <c r="E40" s="11">
        <v>0</v>
      </c>
      <c r="F40" s="460">
        <v>0</v>
      </c>
      <c r="G40" s="5"/>
      <c r="H40" s="5"/>
      <c r="I40" s="5"/>
      <c r="J40" s="126"/>
      <c r="K40" s="5"/>
      <c r="L40" s="5"/>
      <c r="M40" s="5"/>
      <c r="N40" s="5"/>
      <c r="O40" s="5"/>
      <c r="P40" s="5"/>
      <c r="Q40" s="5"/>
      <c r="R40" s="5"/>
      <c r="S40" s="5"/>
      <c r="T40" s="61"/>
      <c r="U40" s="61"/>
      <c r="V40" s="5"/>
      <c r="W40" s="5"/>
      <c r="X40" s="5"/>
      <c r="Y40" s="5"/>
      <c r="Z40" s="5"/>
      <c r="AA40" s="5"/>
      <c r="AB40" s="126"/>
      <c r="AC40" s="5"/>
      <c r="AD40" s="5"/>
      <c r="AE40" s="126"/>
      <c r="AF40" s="5"/>
      <c r="AG40" s="11"/>
      <c r="AH40" s="499"/>
    </row>
    <row r="41" spans="1:34" ht="9.75" customHeight="1">
      <c r="A41" s="460"/>
      <c r="B41" s="96"/>
      <c r="C41" s="552"/>
      <c r="D41" s="5"/>
      <c r="E41" s="11"/>
      <c r="F41" s="460">
        <v>0</v>
      </c>
      <c r="G41" s="5"/>
      <c r="H41" s="5">
        <v>0</v>
      </c>
      <c r="I41" s="5"/>
      <c r="J41" s="126"/>
      <c r="K41" s="5"/>
      <c r="L41" s="5"/>
      <c r="M41" s="5"/>
      <c r="N41" s="5"/>
      <c r="O41" s="5"/>
      <c r="P41" s="5"/>
      <c r="Q41" s="5"/>
      <c r="R41" s="5">
        <v>0</v>
      </c>
      <c r="S41" s="5"/>
      <c r="T41" s="61"/>
      <c r="U41" s="61"/>
      <c r="V41" s="5"/>
      <c r="W41" s="5"/>
      <c r="X41" s="5"/>
      <c r="Y41" s="5"/>
      <c r="Z41" s="5"/>
      <c r="AA41" s="5"/>
      <c r="AB41" s="126">
        <v>0</v>
      </c>
      <c r="AC41" s="5"/>
      <c r="AD41" s="5"/>
      <c r="AE41" s="126"/>
      <c r="AF41" s="5"/>
      <c r="AG41" s="11"/>
      <c r="AH41" s="499"/>
    </row>
    <row r="42" spans="1:34" ht="9.75" customHeight="1">
      <c r="A42" s="460"/>
      <c r="B42" s="96"/>
      <c r="C42" s="552"/>
      <c r="D42" s="5"/>
      <c r="E42" s="11"/>
      <c r="F42" s="460"/>
      <c r="G42" s="5"/>
      <c r="H42" s="5">
        <v>0</v>
      </c>
      <c r="I42" s="5"/>
      <c r="J42" s="126"/>
      <c r="K42" s="5"/>
      <c r="L42" s="5"/>
      <c r="M42" s="5"/>
      <c r="N42" s="5"/>
      <c r="O42" s="5"/>
      <c r="P42" s="5"/>
      <c r="Q42" s="5">
        <v>0</v>
      </c>
      <c r="R42" s="5"/>
      <c r="S42" s="5"/>
      <c r="T42" s="183"/>
      <c r="U42" s="183"/>
      <c r="V42" s="6"/>
      <c r="W42" s="5"/>
      <c r="X42" s="5"/>
      <c r="Y42" s="5"/>
      <c r="Z42" s="5"/>
      <c r="AA42" s="5"/>
      <c r="AB42" s="126"/>
      <c r="AC42" s="5"/>
      <c r="AD42" s="5"/>
      <c r="AE42" s="539"/>
      <c r="AF42" s="5"/>
      <c r="AG42" s="11"/>
      <c r="AH42" s="499">
        <v>0</v>
      </c>
    </row>
    <row r="43" spans="1:34" ht="9.75" customHeight="1">
      <c r="A43" s="460"/>
      <c r="B43" s="96"/>
      <c r="C43" s="552"/>
      <c r="D43" s="5"/>
      <c r="E43" s="11"/>
      <c r="F43" s="460"/>
      <c r="G43" s="5"/>
      <c r="H43" s="5">
        <v>0</v>
      </c>
      <c r="I43" s="5"/>
      <c r="J43" s="126"/>
      <c r="K43" s="5"/>
      <c r="L43" s="5"/>
      <c r="M43" s="5"/>
      <c r="N43" s="5"/>
      <c r="O43" s="5"/>
      <c r="P43" s="5"/>
      <c r="Q43" s="5"/>
      <c r="R43" s="5"/>
      <c r="S43" s="5"/>
      <c r="T43" s="183"/>
      <c r="U43" s="183"/>
      <c r="V43" s="6"/>
      <c r="W43" s="5"/>
      <c r="X43" s="5"/>
      <c r="Y43" s="5"/>
      <c r="Z43" s="5"/>
      <c r="AA43" s="5"/>
      <c r="AB43" s="126"/>
      <c r="AC43" s="5"/>
      <c r="AD43" s="5"/>
      <c r="AE43" s="249"/>
      <c r="AF43" s="5"/>
      <c r="AG43" s="11"/>
      <c r="AH43" s="499"/>
    </row>
    <row r="44" spans="1:34" ht="9.75" customHeight="1">
      <c r="A44" s="460"/>
      <c r="B44" s="96"/>
      <c r="C44" s="552"/>
      <c r="D44" s="5"/>
      <c r="E44" s="11">
        <v>0</v>
      </c>
      <c r="F44" s="460"/>
      <c r="G44" s="5"/>
      <c r="H44" s="5"/>
      <c r="I44" s="5"/>
      <c r="J44" s="126">
        <v>0</v>
      </c>
      <c r="K44" s="5"/>
      <c r="L44" s="5"/>
      <c r="M44" s="5"/>
      <c r="N44" s="5"/>
      <c r="O44" s="5"/>
      <c r="P44" s="5"/>
      <c r="Q44" s="5"/>
      <c r="R44" s="5"/>
      <c r="S44" s="5"/>
      <c r="T44" s="61"/>
      <c r="U44" s="61"/>
      <c r="V44" s="5"/>
      <c r="W44" s="5"/>
      <c r="X44" s="5"/>
      <c r="Y44" s="5"/>
      <c r="Z44" s="5"/>
      <c r="AA44" s="5"/>
      <c r="AB44" s="126"/>
      <c r="AC44" s="5"/>
      <c r="AD44" s="5"/>
      <c r="AE44" s="126"/>
      <c r="AF44" s="5"/>
      <c r="AG44" s="11"/>
      <c r="AH44" s="499"/>
    </row>
    <row r="45" spans="1:34" ht="9.75" customHeight="1">
      <c r="A45" s="460"/>
      <c r="B45" s="96"/>
      <c r="C45" s="552"/>
      <c r="D45" s="5"/>
      <c r="E45" s="11"/>
      <c r="F45" s="460"/>
      <c r="G45" s="5"/>
      <c r="H45" s="5"/>
      <c r="I45" s="5"/>
      <c r="J45" s="126"/>
      <c r="K45" s="5"/>
      <c r="L45" s="5"/>
      <c r="M45" s="5"/>
      <c r="N45" s="5"/>
      <c r="O45" s="5"/>
      <c r="P45" s="5"/>
      <c r="Q45" s="5"/>
      <c r="R45" s="5"/>
      <c r="S45" s="5"/>
      <c r="T45" s="61"/>
      <c r="U45" s="61"/>
      <c r="V45" s="5"/>
      <c r="W45" s="5"/>
      <c r="X45" s="5"/>
      <c r="Y45" s="5"/>
      <c r="Z45" s="5"/>
      <c r="AA45" s="5"/>
      <c r="AB45" s="126"/>
      <c r="AC45" s="5"/>
      <c r="AD45" s="5"/>
      <c r="AE45" s="126"/>
      <c r="AF45" s="5"/>
      <c r="AG45" s="11"/>
      <c r="AH45" s="499"/>
    </row>
    <row r="46" spans="1:34" ht="9.75" customHeight="1">
      <c r="A46" s="460"/>
      <c r="B46" s="96"/>
      <c r="C46" s="552"/>
      <c r="D46" s="5"/>
      <c r="E46" s="11"/>
      <c r="F46" s="460"/>
      <c r="G46" s="5"/>
      <c r="H46" s="5"/>
      <c r="I46" s="5"/>
      <c r="J46" s="126"/>
      <c r="K46" s="5"/>
      <c r="L46" s="5"/>
      <c r="M46" s="5"/>
      <c r="N46" s="5"/>
      <c r="O46" s="5"/>
      <c r="P46" s="5"/>
      <c r="Q46" s="5"/>
      <c r="R46" s="5"/>
      <c r="S46" s="5"/>
      <c r="T46" s="61"/>
      <c r="U46" s="61"/>
      <c r="V46" s="5"/>
      <c r="W46" s="5"/>
      <c r="X46" s="5"/>
      <c r="Y46" s="5"/>
      <c r="Z46" s="5"/>
      <c r="AA46" s="5"/>
      <c r="AB46" s="126"/>
      <c r="AC46" s="5"/>
      <c r="AD46" s="5"/>
      <c r="AE46" s="126"/>
      <c r="AF46" s="5"/>
      <c r="AG46" s="11"/>
      <c r="AH46" s="499"/>
    </row>
    <row r="47" spans="1:34" ht="9.75" customHeight="1">
      <c r="A47" s="459"/>
      <c r="B47" s="96"/>
      <c r="C47" s="552"/>
      <c r="D47" s="5"/>
      <c r="E47" s="11"/>
      <c r="F47" s="460"/>
      <c r="G47" s="5"/>
      <c r="H47" s="5"/>
      <c r="I47" s="5"/>
      <c r="J47" s="126"/>
      <c r="K47" s="5"/>
      <c r="L47" s="5"/>
      <c r="M47" s="5"/>
      <c r="N47" s="5"/>
      <c r="O47" s="5"/>
      <c r="P47" s="5"/>
      <c r="Q47" s="5"/>
      <c r="R47" s="5"/>
      <c r="S47" s="5"/>
      <c r="T47" s="61"/>
      <c r="U47" s="61"/>
      <c r="V47" s="5"/>
      <c r="W47" s="5"/>
      <c r="X47" s="5"/>
      <c r="Y47" s="5"/>
      <c r="Z47" s="5"/>
      <c r="AA47" s="5"/>
      <c r="AB47" s="126"/>
      <c r="AC47" s="5"/>
      <c r="AD47" s="5"/>
      <c r="AE47" s="126"/>
      <c r="AF47" s="5"/>
      <c r="AG47" s="11"/>
      <c r="AH47" s="499"/>
    </row>
    <row r="48" spans="1:34" ht="9.75" customHeight="1" thickBot="1">
      <c r="A48" s="459"/>
      <c r="B48" s="96"/>
      <c r="C48" s="552"/>
      <c r="D48" s="5"/>
      <c r="E48" s="11"/>
      <c r="F48" s="460"/>
      <c r="G48" s="5"/>
      <c r="H48" s="5"/>
      <c r="I48" s="5"/>
      <c r="J48" s="126"/>
      <c r="K48" s="5"/>
      <c r="L48" s="5"/>
      <c r="M48" s="5"/>
      <c r="N48" s="5"/>
      <c r="O48" s="5"/>
      <c r="P48" s="5"/>
      <c r="Q48" s="5"/>
      <c r="R48" s="5"/>
      <c r="S48" s="5"/>
      <c r="T48" s="61"/>
      <c r="U48" s="61"/>
      <c r="V48" s="5"/>
      <c r="W48" s="5"/>
      <c r="X48" s="5"/>
      <c r="Y48" s="5"/>
      <c r="Z48" s="5"/>
      <c r="AA48" s="5"/>
      <c r="AB48" s="126"/>
      <c r="AC48" s="5"/>
      <c r="AD48" s="5"/>
      <c r="AE48" s="121">
        <v>0</v>
      </c>
      <c r="AF48" s="5"/>
      <c r="AG48" s="11"/>
      <c r="AH48" s="499"/>
    </row>
    <row r="49" spans="1:34" ht="9.75" customHeight="1">
      <c r="A49" s="461" t="s">
        <v>964</v>
      </c>
      <c r="B49" s="475">
        <f>A39</f>
        <v>12</v>
      </c>
      <c r="C49" s="653">
        <f>SUM(E49:AB49)</f>
        <v>0</v>
      </c>
      <c r="D49" s="654"/>
      <c r="E49" s="118">
        <f>SUM(E38:E48)</f>
        <v>0</v>
      </c>
      <c r="F49" s="530">
        <f>SUM(F38:F48)</f>
        <v>0</v>
      </c>
      <c r="G49" s="62">
        <f>SUM(G38:G48)</f>
        <v>0</v>
      </c>
      <c r="H49" s="62">
        <f>SUM(H38:H48)</f>
        <v>0</v>
      </c>
      <c r="I49" s="62">
        <f>SUM(I38:I48)</f>
        <v>0</v>
      </c>
      <c r="J49" s="657">
        <f>SUM(J38:J48)</f>
        <v>0</v>
      </c>
      <c r="K49" s="62">
        <f>SUM(K38:K48)</f>
        <v>0</v>
      </c>
      <c r="L49" s="62">
        <f>SUM(L38:L48)</f>
        <v>0</v>
      </c>
      <c r="M49" s="62">
        <f>SUM(M38:M48)</f>
        <v>0</v>
      </c>
      <c r="N49" s="62">
        <f>SUM(N38:N48)</f>
        <v>0</v>
      </c>
      <c r="O49" s="62">
        <f>SUM(O38:O48)</f>
        <v>0</v>
      </c>
      <c r="P49" s="62">
        <f>SUM(P38:P48)</f>
        <v>0</v>
      </c>
      <c r="Q49" s="62">
        <f>SUM(Q38:Q48)</f>
        <v>0</v>
      </c>
      <c r="R49" s="62">
        <f>SUM(R38:R48)</f>
        <v>0</v>
      </c>
      <c r="S49" s="62">
        <f>SUM(S38:S48)</f>
        <v>0</v>
      </c>
      <c r="T49" s="62">
        <f>SUM(T38:T48)</f>
        <v>0</v>
      </c>
      <c r="U49" s="62">
        <f>SUM(U38:U48)</f>
        <v>0</v>
      </c>
      <c r="V49" s="62">
        <f>SUM(V38:V48)</f>
        <v>0</v>
      </c>
      <c r="W49" s="62">
        <f>SUM(W38:W48)</f>
        <v>0</v>
      </c>
      <c r="X49" s="62">
        <f>SUM(X38:X48)</f>
        <v>0</v>
      </c>
      <c r="Y49" s="62">
        <f>SUM(Y38:Y48)</f>
        <v>0</v>
      </c>
      <c r="Z49" s="62">
        <f>SUM(Z38:Z48)</f>
        <v>0</v>
      </c>
      <c r="AA49" s="62">
        <f>SUM(AA38:AA48)</f>
        <v>0</v>
      </c>
      <c r="AB49" s="544">
        <f>SUM(AB38:AB48)</f>
        <v>0</v>
      </c>
      <c r="AC49" s="12">
        <f>E49</f>
        <v>0</v>
      </c>
      <c r="AD49" s="12">
        <f>SUM(F49:AA49)</f>
        <v>0</v>
      </c>
      <c r="AE49" s="495" t="s">
        <v>1105</v>
      </c>
      <c r="AF49" s="495" t="s">
        <v>951</v>
      </c>
      <c r="AG49" s="495" t="s">
        <v>979</v>
      </c>
      <c r="AH49" s="538" t="s">
        <v>349</v>
      </c>
    </row>
    <row r="50" spans="1:34" ht="9.75" customHeight="1">
      <c r="A50" s="459" t="s">
        <v>0</v>
      </c>
      <c r="B50" s="96"/>
      <c r="C50" s="552"/>
      <c r="D50" s="5"/>
      <c r="E50" s="11"/>
      <c r="F50" s="460"/>
      <c r="G50" s="5"/>
      <c r="H50" s="5"/>
      <c r="I50" s="5"/>
      <c r="J50" s="126"/>
      <c r="K50" s="5"/>
      <c r="L50" s="5"/>
      <c r="M50" s="5"/>
      <c r="N50" s="5"/>
      <c r="O50" s="5"/>
      <c r="P50" s="5"/>
      <c r="Q50" s="5"/>
      <c r="R50" s="5"/>
      <c r="S50" s="5"/>
      <c r="T50" s="61"/>
      <c r="U50" s="61"/>
      <c r="V50" s="5"/>
      <c r="W50" s="5"/>
      <c r="X50" s="5"/>
      <c r="Y50" s="5"/>
      <c r="Z50" s="5"/>
      <c r="AA50" s="5"/>
      <c r="AB50" s="126">
        <v>0</v>
      </c>
      <c r="AC50" s="5">
        <f>AC38+AC49</f>
        <v>68722</v>
      </c>
      <c r="AD50" s="5">
        <f>AD38+AD49</f>
        <v>19833</v>
      </c>
      <c r="AE50" s="121">
        <v>0</v>
      </c>
      <c r="AF50" s="5"/>
      <c r="AG50" s="11"/>
      <c r="AH50" s="499"/>
    </row>
    <row r="51" spans="1:34" ht="9.75" customHeight="1">
      <c r="A51" s="460">
        <v>13</v>
      </c>
      <c r="B51" s="96"/>
      <c r="C51" s="552"/>
      <c r="D51" s="5"/>
      <c r="E51" s="11"/>
      <c r="F51" s="460"/>
      <c r="G51" s="5"/>
      <c r="H51" s="5"/>
      <c r="I51" s="5"/>
      <c r="J51" s="126"/>
      <c r="K51" s="5"/>
      <c r="L51" s="5"/>
      <c r="M51" s="5"/>
      <c r="N51" s="5"/>
      <c r="O51" s="5"/>
      <c r="P51" s="5"/>
      <c r="Q51" s="5"/>
      <c r="R51" s="5"/>
      <c r="S51" s="5"/>
      <c r="T51" s="61"/>
      <c r="U51" s="61"/>
      <c r="V51" s="5"/>
      <c r="W51" s="5"/>
      <c r="X51" s="5"/>
      <c r="Y51" s="5"/>
      <c r="Z51" s="5"/>
      <c r="AA51" s="5"/>
      <c r="AB51" s="126">
        <v>0</v>
      </c>
      <c r="AC51" s="5"/>
      <c r="AD51" s="5"/>
      <c r="AE51" s="121">
        <v>0</v>
      </c>
      <c r="AF51" s="5"/>
      <c r="AG51" s="11"/>
      <c r="AH51" s="499"/>
    </row>
    <row r="52" spans="1:34" ht="9.75" customHeight="1">
      <c r="A52" s="460"/>
      <c r="B52" s="96"/>
      <c r="C52" s="552"/>
      <c r="D52" s="5"/>
      <c r="E52" s="11"/>
      <c r="F52" s="460"/>
      <c r="G52" s="5"/>
      <c r="H52" s="5"/>
      <c r="I52" s="5"/>
      <c r="J52" s="126"/>
      <c r="K52" s="5"/>
      <c r="L52" s="5"/>
      <c r="M52" s="5"/>
      <c r="N52" s="5"/>
      <c r="O52" s="5"/>
      <c r="P52" s="5"/>
      <c r="Q52" s="5"/>
      <c r="R52" s="5"/>
      <c r="S52" s="5"/>
      <c r="T52" s="61"/>
      <c r="U52" s="61"/>
      <c r="V52" s="5"/>
      <c r="W52" s="5"/>
      <c r="X52" s="5"/>
      <c r="Y52" s="5"/>
      <c r="Z52" s="5"/>
      <c r="AA52" s="5"/>
      <c r="AB52" s="126"/>
      <c r="AC52" s="5"/>
      <c r="AD52" s="5"/>
      <c r="AE52" s="121"/>
      <c r="AF52" s="5"/>
      <c r="AG52" s="11"/>
      <c r="AH52" s="499"/>
    </row>
    <row r="53" spans="1:34" ht="9.75" customHeight="1">
      <c r="A53" s="460"/>
      <c r="B53" s="96"/>
      <c r="C53" s="552"/>
      <c r="D53" s="5"/>
      <c r="E53" s="11"/>
      <c r="F53" s="460"/>
      <c r="G53" s="5"/>
      <c r="H53" s="5"/>
      <c r="I53" s="5"/>
      <c r="J53" s="126"/>
      <c r="K53" s="5"/>
      <c r="L53" s="5"/>
      <c r="M53" s="5"/>
      <c r="N53" s="5"/>
      <c r="O53" s="5"/>
      <c r="P53" s="5"/>
      <c r="Q53" s="5"/>
      <c r="R53" s="5"/>
      <c r="S53" s="5"/>
      <c r="T53" s="61"/>
      <c r="U53" s="61"/>
      <c r="V53" s="5"/>
      <c r="W53" s="5"/>
      <c r="X53" s="5"/>
      <c r="Y53" s="5"/>
      <c r="Z53" s="5"/>
      <c r="AA53" s="5"/>
      <c r="AB53" s="126"/>
      <c r="AC53" s="5"/>
      <c r="AD53" s="5"/>
      <c r="AE53" s="121"/>
      <c r="AF53" s="5"/>
      <c r="AG53" s="11"/>
      <c r="AH53" s="499"/>
    </row>
    <row r="54" spans="1:34" ht="9.75" customHeight="1">
      <c r="A54" s="460"/>
      <c r="B54" s="96"/>
      <c r="C54" s="552"/>
      <c r="D54" s="5"/>
      <c r="E54" s="11"/>
      <c r="F54" s="460"/>
      <c r="G54" s="5"/>
      <c r="H54" s="5"/>
      <c r="I54" s="5"/>
      <c r="J54" s="126"/>
      <c r="K54" s="5"/>
      <c r="L54" s="5"/>
      <c r="M54" s="5"/>
      <c r="N54" s="5"/>
      <c r="O54" s="5"/>
      <c r="P54" s="5"/>
      <c r="Q54" s="5"/>
      <c r="R54" s="5"/>
      <c r="S54" s="5"/>
      <c r="T54" s="61"/>
      <c r="U54" s="61"/>
      <c r="V54" s="5"/>
      <c r="W54" s="5"/>
      <c r="X54" s="5"/>
      <c r="Y54" s="5"/>
      <c r="Z54" s="5"/>
      <c r="AA54" s="5"/>
      <c r="AB54" s="126"/>
      <c r="AC54" s="5"/>
      <c r="AD54" s="5"/>
      <c r="AE54" s="121"/>
      <c r="AF54" s="5"/>
      <c r="AG54" s="11"/>
      <c r="AH54" s="499"/>
    </row>
    <row r="55" spans="1:34" ht="9.75" customHeight="1">
      <c r="A55" s="460"/>
      <c r="B55" s="96"/>
      <c r="C55" s="552"/>
      <c r="D55" s="5"/>
      <c r="E55" s="11"/>
      <c r="F55" s="460"/>
      <c r="G55" s="5"/>
      <c r="H55" s="5"/>
      <c r="I55" s="5"/>
      <c r="J55" s="126"/>
      <c r="K55" s="5"/>
      <c r="L55" s="5"/>
      <c r="M55" s="5"/>
      <c r="N55" s="5"/>
      <c r="O55" s="5"/>
      <c r="P55" s="5"/>
      <c r="Q55" s="5"/>
      <c r="R55" s="5"/>
      <c r="S55" s="5"/>
      <c r="T55" s="61"/>
      <c r="U55" s="61"/>
      <c r="V55" s="5"/>
      <c r="W55" s="5"/>
      <c r="X55" s="5"/>
      <c r="Y55" s="5"/>
      <c r="Z55" s="5"/>
      <c r="AA55" s="5"/>
      <c r="AB55" s="126"/>
      <c r="AC55" s="5"/>
      <c r="AD55" s="5"/>
      <c r="AE55" s="121"/>
      <c r="AF55" s="5"/>
      <c r="AG55" s="11"/>
      <c r="AH55" s="499"/>
    </row>
    <row r="56" spans="1:34" ht="9.75" customHeight="1">
      <c r="A56" s="460"/>
      <c r="B56" s="96"/>
      <c r="C56" s="552"/>
      <c r="D56" s="5"/>
      <c r="E56" s="11"/>
      <c r="F56" s="460"/>
      <c r="G56" s="5"/>
      <c r="H56" s="5"/>
      <c r="I56" s="5"/>
      <c r="J56" s="126"/>
      <c r="K56" s="5"/>
      <c r="L56" s="5"/>
      <c r="M56" s="5"/>
      <c r="N56" s="5"/>
      <c r="O56" s="5"/>
      <c r="P56" s="5"/>
      <c r="Q56" s="5"/>
      <c r="R56" s="5"/>
      <c r="S56" s="5"/>
      <c r="T56" s="61"/>
      <c r="U56" s="61"/>
      <c r="V56" s="5"/>
      <c r="W56" s="5"/>
      <c r="X56" s="5"/>
      <c r="Y56" s="5"/>
      <c r="Z56" s="5"/>
      <c r="AA56" s="5"/>
      <c r="AB56" s="126"/>
      <c r="AC56" s="5"/>
      <c r="AD56" s="5"/>
      <c r="AE56" s="121"/>
      <c r="AF56" s="5"/>
      <c r="AG56" s="11"/>
      <c r="AH56" s="499"/>
    </row>
    <row r="57" spans="1:34" ht="9.75" customHeight="1">
      <c r="A57" s="460"/>
      <c r="B57" s="96"/>
      <c r="C57" s="552"/>
      <c r="D57" s="5"/>
      <c r="E57" s="11"/>
      <c r="F57" s="460"/>
      <c r="G57" s="5"/>
      <c r="H57" s="5"/>
      <c r="I57" s="5"/>
      <c r="J57" s="126"/>
      <c r="K57" s="5"/>
      <c r="L57" s="5"/>
      <c r="M57" s="5"/>
      <c r="N57" s="5"/>
      <c r="O57" s="5"/>
      <c r="P57" s="5"/>
      <c r="Q57" s="5"/>
      <c r="R57" s="5"/>
      <c r="S57" s="5"/>
      <c r="T57" s="61"/>
      <c r="U57" s="61"/>
      <c r="V57" s="5"/>
      <c r="W57" s="5"/>
      <c r="X57" s="5"/>
      <c r="Y57" s="5"/>
      <c r="Z57" s="5"/>
      <c r="AA57" s="5"/>
      <c r="AB57" s="126"/>
      <c r="AC57" s="5"/>
      <c r="AD57" s="5"/>
      <c r="AE57" s="121"/>
      <c r="AF57" s="5"/>
      <c r="AG57" s="11"/>
      <c r="AH57" s="499"/>
    </row>
    <row r="58" spans="1:34" ht="9.75" customHeight="1">
      <c r="A58" s="460"/>
      <c r="B58" s="96"/>
      <c r="C58" s="552"/>
      <c r="D58" s="5"/>
      <c r="E58" s="11"/>
      <c r="F58" s="460"/>
      <c r="G58" s="5"/>
      <c r="H58" s="5"/>
      <c r="I58" s="5"/>
      <c r="J58" s="126"/>
      <c r="K58" s="5"/>
      <c r="L58" s="5"/>
      <c r="M58" s="5"/>
      <c r="N58" s="5"/>
      <c r="O58" s="5"/>
      <c r="P58" s="5"/>
      <c r="Q58" s="5"/>
      <c r="R58" s="5"/>
      <c r="S58" s="5"/>
      <c r="T58" s="61"/>
      <c r="U58" s="61"/>
      <c r="V58" s="5"/>
      <c r="W58" s="5"/>
      <c r="X58" s="5"/>
      <c r="Y58" s="5"/>
      <c r="Z58" s="5"/>
      <c r="AA58" s="5"/>
      <c r="AB58" s="126"/>
      <c r="AC58" s="5"/>
      <c r="AD58" s="5"/>
      <c r="AE58" s="121"/>
      <c r="AF58" s="5"/>
      <c r="AG58" s="11"/>
      <c r="AH58" s="499"/>
    </row>
    <row r="59" spans="1:34" ht="9.75" customHeight="1">
      <c r="A59" s="460"/>
      <c r="B59" s="96"/>
      <c r="C59" s="552"/>
      <c r="D59" s="5"/>
      <c r="E59" s="11"/>
      <c r="F59" s="460"/>
      <c r="G59" s="5"/>
      <c r="H59" s="5"/>
      <c r="I59" s="5">
        <v>0</v>
      </c>
      <c r="J59" s="126"/>
      <c r="K59" s="5"/>
      <c r="L59" s="5"/>
      <c r="M59" s="5"/>
      <c r="N59" s="5"/>
      <c r="O59" s="5"/>
      <c r="P59" s="5"/>
      <c r="Q59" s="5"/>
      <c r="R59" s="5"/>
      <c r="S59" s="5"/>
      <c r="T59" s="61"/>
      <c r="U59" s="61"/>
      <c r="V59" s="5"/>
      <c r="W59" s="5"/>
      <c r="X59" s="5"/>
      <c r="Y59" s="5"/>
      <c r="Z59" s="5"/>
      <c r="AA59" s="5"/>
      <c r="AB59" s="126">
        <v>0</v>
      </c>
      <c r="AC59" s="5"/>
      <c r="AD59" s="5"/>
      <c r="AE59" s="121">
        <v>0</v>
      </c>
      <c r="AF59" s="5"/>
      <c r="AG59" s="11"/>
      <c r="AH59" s="499"/>
    </row>
    <row r="60" spans="1:34" ht="9.75" customHeight="1">
      <c r="A60" s="460"/>
      <c r="B60" s="96"/>
      <c r="C60" s="552"/>
      <c r="D60" s="5"/>
      <c r="E60" s="11"/>
      <c r="F60" s="460"/>
      <c r="G60" s="5"/>
      <c r="H60" s="5"/>
      <c r="I60" s="5"/>
      <c r="J60" s="126"/>
      <c r="K60" s="5"/>
      <c r="L60" s="5"/>
      <c r="M60" s="5"/>
      <c r="N60" s="5"/>
      <c r="O60" s="5"/>
      <c r="P60" s="5"/>
      <c r="Q60" s="5"/>
      <c r="R60" s="5"/>
      <c r="S60" s="5"/>
      <c r="T60" s="61"/>
      <c r="U60" s="61"/>
      <c r="V60" s="5"/>
      <c r="W60" s="5"/>
      <c r="X60" s="5"/>
      <c r="Y60" s="5"/>
      <c r="Z60" s="5"/>
      <c r="AA60" s="5"/>
      <c r="AB60" s="126">
        <v>0</v>
      </c>
      <c r="AC60" s="5"/>
      <c r="AD60" s="6">
        <f>T49+T50+T59</f>
        <v>0</v>
      </c>
      <c r="AE60" s="121">
        <v>0</v>
      </c>
      <c r="AF60" s="5"/>
      <c r="AG60" s="11"/>
      <c r="AH60" s="499"/>
    </row>
    <row r="61" spans="1:34" ht="9.75" customHeight="1">
      <c r="A61" s="461" t="s">
        <v>964</v>
      </c>
      <c r="B61" s="449">
        <f>A51</f>
        <v>13</v>
      </c>
      <c r="C61" s="653">
        <f>SUM(E61:AB61)</f>
        <v>0</v>
      </c>
      <c r="D61" s="654"/>
      <c r="E61" s="528">
        <f>SUM(E50:E60)</f>
        <v>0</v>
      </c>
      <c r="F61" s="531">
        <f>SUM(F50:F60)</f>
        <v>0</v>
      </c>
      <c r="G61" s="9">
        <f>SUM(G50:G60)</f>
        <v>0</v>
      </c>
      <c r="H61" s="9">
        <f>SUM(H50:H60)</f>
        <v>0</v>
      </c>
      <c r="I61" s="9">
        <f>SUM(I50:I60)</f>
        <v>0</v>
      </c>
      <c r="J61" s="658">
        <f>SUM(J50:J60)</f>
        <v>0</v>
      </c>
      <c r="K61" s="9">
        <f>SUM(K50:K60)</f>
        <v>0</v>
      </c>
      <c r="L61" s="9">
        <f>SUM(L50:L60)</f>
        <v>0</v>
      </c>
      <c r="M61" s="9">
        <f>SUM(M50:M60)</f>
        <v>0</v>
      </c>
      <c r="N61" s="9">
        <f>SUM(N50:N60)</f>
        <v>0</v>
      </c>
      <c r="O61" s="9">
        <f>SUM(O50:O60)</f>
        <v>0</v>
      </c>
      <c r="P61" s="9">
        <f>SUM(P50:P60)</f>
        <v>0</v>
      </c>
      <c r="Q61" s="9">
        <f>SUM(Q50:Q60)</f>
        <v>0</v>
      </c>
      <c r="R61" s="7">
        <f>SUM(R50:R60)</f>
        <v>0</v>
      </c>
      <c r="S61" s="7">
        <f>SUM(S50:S60)</f>
        <v>0</v>
      </c>
      <c r="T61" s="7">
        <f>SUM(T50:T60)</f>
        <v>0</v>
      </c>
      <c r="U61" s="7">
        <f>SUM(U50:U60)</f>
        <v>0</v>
      </c>
      <c r="V61" s="7">
        <f>SUM(V50:V60)</f>
        <v>0</v>
      </c>
      <c r="W61" s="7">
        <f>SUM(W50:W60)</f>
        <v>0</v>
      </c>
      <c r="X61" s="7">
        <f>SUM(X50:X60)</f>
        <v>0</v>
      </c>
      <c r="Y61" s="7">
        <f>SUM(Y50:Y60)</f>
        <v>0</v>
      </c>
      <c r="Z61" s="7">
        <f>SUM(Z50:Z60)</f>
        <v>0</v>
      </c>
      <c r="AA61" s="7">
        <f>SUM(AA50:AA60)</f>
        <v>0</v>
      </c>
      <c r="AB61" s="546">
        <f>SUM(AB50:AB60)</f>
        <v>0</v>
      </c>
      <c r="AC61" s="12">
        <f>E61</f>
        <v>0</v>
      </c>
      <c r="AD61" s="12">
        <f>SUM(F61:AA61)</f>
        <v>0</v>
      </c>
      <c r="AE61" s="121">
        <f>SUM(AE48:AE60)</f>
        <v>0</v>
      </c>
      <c r="AF61" s="5"/>
      <c r="AG61" s="11" t="s">
        <v>167</v>
      </c>
      <c r="AH61" s="540">
        <f>SUM(AH2:AH60)</f>
        <v>2054</v>
      </c>
    </row>
    <row r="62" spans="1:34" ht="9.75" customHeight="1">
      <c r="A62" s="462" t="s">
        <v>7</v>
      </c>
      <c r="B62" s="15"/>
      <c r="C62" s="4"/>
      <c r="D62" s="4"/>
      <c r="E62" s="450">
        <f>E13+E25+E37+E49+E61</f>
        <v>68722</v>
      </c>
      <c r="F62" s="532">
        <f>F13+F25+F37+F49+F61</f>
        <v>4748</v>
      </c>
      <c r="G62" s="8">
        <f>G13+G25+G37+G49+G61</f>
        <v>0</v>
      </c>
      <c r="H62" s="8">
        <f>H13+H25+H37+H49+H61</f>
        <v>0</v>
      </c>
      <c r="I62" s="8">
        <f>I13+I25+I37+I49+I61</f>
        <v>0</v>
      </c>
      <c r="J62" s="477">
        <f>J13+J25+J37+J49+J61</f>
        <v>96</v>
      </c>
      <c r="K62" s="8">
        <f>K13+K25+K37+K49+K61</f>
        <v>0</v>
      </c>
      <c r="L62" s="8">
        <f>L13+L25+L37+L49+L61</f>
        <v>0</v>
      </c>
      <c r="M62" s="8">
        <f>M13+M25+M37+M49+M61</f>
        <v>0</v>
      </c>
      <c r="N62" s="8">
        <f>N13+N25+N37+N49+N61</f>
        <v>0</v>
      </c>
      <c r="O62" s="8">
        <f>O13+O25+O37+O49+O61</f>
        <v>0</v>
      </c>
      <c r="P62" s="8">
        <f>P13+P25+P37+P49+P61</f>
        <v>0</v>
      </c>
      <c r="Q62" s="8">
        <f>Q13+Q25+Q37+Q49+Q61</f>
        <v>10236</v>
      </c>
      <c r="R62" s="4">
        <f>R13+R25+R37+R49+R61</f>
        <v>0</v>
      </c>
      <c r="S62" s="4">
        <f>S13+S25+S37+S49+S61</f>
        <v>0</v>
      </c>
      <c r="T62" s="4">
        <f>T13+T25+T37+T49+T61</f>
        <v>0</v>
      </c>
      <c r="U62" s="4">
        <f>U13+U25+U37+U49+U61</f>
        <v>633</v>
      </c>
      <c r="V62" s="4">
        <f>V13+V25+V37+V49+V61</f>
        <v>4120</v>
      </c>
      <c r="W62" s="4">
        <f>W13+W25+W37+W49+W61</f>
        <v>0</v>
      </c>
      <c r="X62" s="4">
        <f>X13+X25+X37+X49+X61</f>
        <v>0</v>
      </c>
      <c r="Y62" s="4">
        <f>Y13+Y25+Y37+Y49+Y61</f>
        <v>0</v>
      </c>
      <c r="Z62" s="4">
        <f>Z13+Z25+Z37+Z49+Z61</f>
        <v>0</v>
      </c>
      <c r="AA62" s="4">
        <f>AA13+AA25+AA37+AA49+AA61</f>
        <v>0</v>
      </c>
      <c r="AB62" s="476">
        <f>SUM(F62:AA62)</f>
        <v>19833</v>
      </c>
      <c r="AC62" s="5">
        <f>AC61+AC50</f>
        <v>68722</v>
      </c>
      <c r="AD62" s="5">
        <f>AD61+AD50</f>
        <v>19833</v>
      </c>
      <c r="AE62" s="126"/>
      <c r="AF62" s="5"/>
      <c r="AG62" s="11" t="s">
        <v>395</v>
      </c>
      <c r="AH62" s="499"/>
    </row>
    <row r="63" spans="1:34" ht="9.75" customHeight="1">
      <c r="A63" s="460"/>
      <c r="B63" s="5"/>
      <c r="C63" s="5"/>
      <c r="D63" s="5"/>
      <c r="E63" s="61">
        <f>D67+AC2+AD2</f>
        <v>99243</v>
      </c>
      <c r="F63" s="533" t="s">
        <v>966</v>
      </c>
      <c r="G63" s="7"/>
      <c r="H63" s="7"/>
      <c r="I63" s="7"/>
      <c r="J63" s="7"/>
      <c r="K63" s="7"/>
      <c r="L63" s="5"/>
      <c r="M63" s="5"/>
      <c r="N63" s="5"/>
      <c r="O63" s="5"/>
      <c r="P63" s="5"/>
      <c r="Q63" s="5"/>
      <c r="R63" s="5"/>
      <c r="S63" s="5"/>
      <c r="T63" s="183"/>
      <c r="U63" s="183"/>
      <c r="V63" s="5"/>
      <c r="W63" s="5"/>
      <c r="X63" s="5"/>
      <c r="Y63" s="5"/>
      <c r="Z63" s="59"/>
      <c r="AA63" s="5"/>
      <c r="AB63" s="477" t="s">
        <v>1107</v>
      </c>
      <c r="AC63" s="5"/>
      <c r="AD63" s="5"/>
      <c r="AE63" s="541"/>
      <c r="AF63" s="5"/>
      <c r="AG63" s="11"/>
      <c r="AH63" s="499"/>
    </row>
    <row r="64" spans="1:34" ht="9.75" customHeight="1">
      <c r="A64" s="459" t="s">
        <v>977</v>
      </c>
      <c r="B64" s="5"/>
      <c r="C64" s="5"/>
      <c r="D64" s="6">
        <f>E62</f>
        <v>68722</v>
      </c>
      <c r="E64" s="5"/>
      <c r="F64" s="460"/>
      <c r="G64" s="5"/>
      <c r="H64" s="5"/>
      <c r="I64" s="5"/>
      <c r="J64" s="5"/>
      <c r="K64" s="5" t="s">
        <v>227</v>
      </c>
      <c r="L64" s="5" t="s">
        <v>228</v>
      </c>
      <c r="M64" s="5" t="s">
        <v>970</v>
      </c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184" t="s">
        <v>268</v>
      </c>
      <c r="AA64" s="117"/>
      <c r="AB64" s="184">
        <f>AB13+AB25+AB37+AB49+AB61</f>
        <v>10688</v>
      </c>
      <c r="AC64" s="5"/>
      <c r="AD64" s="5"/>
      <c r="AE64" s="5"/>
      <c r="AF64" s="5"/>
      <c r="AH64" s="529"/>
    </row>
    <row r="65" spans="1:34" ht="9.75" customHeight="1">
      <c r="A65" s="459" t="s">
        <v>968</v>
      </c>
      <c r="B65" s="5"/>
      <c r="C65" s="5"/>
      <c r="D65" s="63">
        <f>AB62</f>
        <v>19833</v>
      </c>
      <c r="E65" s="5">
        <f>D65</f>
        <v>19833</v>
      </c>
      <c r="F65" s="460"/>
      <c r="G65" s="5" t="s">
        <v>978</v>
      </c>
      <c r="H65" s="5"/>
      <c r="I65" s="652">
        <f>D65+D66</f>
        <v>30521</v>
      </c>
      <c r="J65" s="652"/>
      <c r="K65" s="5">
        <v>615</v>
      </c>
      <c r="L65" s="5">
        <v>920</v>
      </c>
      <c r="M65" s="5">
        <v>615</v>
      </c>
      <c r="N65" s="5" t="s">
        <v>969</v>
      </c>
      <c r="O65" s="5"/>
      <c r="P65" s="5"/>
      <c r="Q65" s="5"/>
      <c r="R65" s="5"/>
      <c r="S65" s="5"/>
      <c r="T65" s="5"/>
      <c r="U65" s="5"/>
      <c r="V65" s="5"/>
      <c r="W65" s="5"/>
      <c r="X65" s="5"/>
      <c r="Z65" s="5"/>
      <c r="AA65" s="59"/>
      <c r="AB65" s="5"/>
      <c r="AC65" s="5"/>
      <c r="AD65" s="5"/>
      <c r="AE65" s="5"/>
      <c r="AF65" s="5"/>
      <c r="AH65" s="529"/>
    </row>
    <row r="66" spans="1:34" ht="9.75" customHeight="1">
      <c r="A66" s="460"/>
      <c r="B66" s="6" t="s">
        <v>967</v>
      </c>
      <c r="C66" s="6"/>
      <c r="D66" s="6">
        <f>AB64</f>
        <v>10688</v>
      </c>
      <c r="E66" s="5"/>
      <c r="F66" s="460"/>
      <c r="G66" s="5"/>
      <c r="H66" s="5"/>
      <c r="I66" s="5"/>
      <c r="J66" s="5"/>
      <c r="K66" s="5">
        <f>K65*2</f>
        <v>1230</v>
      </c>
      <c r="L66" s="5">
        <v>920</v>
      </c>
      <c r="M66" s="5">
        <f>M65*2</f>
        <v>1230</v>
      </c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6" t="s">
        <v>1106</v>
      </c>
      <c r="Z66" s="59"/>
      <c r="AA66" s="59"/>
      <c r="AB66" s="5"/>
      <c r="AC66" s="5"/>
      <c r="AD66" s="6">
        <f>D67+AH61</f>
        <v>101297</v>
      </c>
      <c r="AE66" s="5"/>
      <c r="AF66" s="5"/>
      <c r="AH66" s="529"/>
    </row>
    <row r="67" spans="1:34" ht="9.75" customHeight="1" thickBot="1">
      <c r="A67" s="490" t="s">
        <v>965</v>
      </c>
      <c r="B67" s="491"/>
      <c r="C67" s="28"/>
      <c r="D67" s="492">
        <f>C13+C25+C37+C49+C61</f>
        <v>99243</v>
      </c>
      <c r="E67" s="553">
        <f>D67+AH61</f>
        <v>101297</v>
      </c>
      <c r="F67" s="534" t="s">
        <v>1134</v>
      </c>
      <c r="G67" s="28"/>
      <c r="H67" s="28"/>
      <c r="I67" s="28"/>
      <c r="J67" s="28"/>
      <c r="K67" s="28">
        <v>566</v>
      </c>
      <c r="L67" s="28">
        <v>406</v>
      </c>
      <c r="M67" s="28">
        <v>566</v>
      </c>
      <c r="N67" s="28" t="s">
        <v>438</v>
      </c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 t="s">
        <v>1108</v>
      </c>
      <c r="AA67" s="28"/>
      <c r="AB67" s="28"/>
      <c r="AC67" s="28"/>
      <c r="AD67" s="28"/>
      <c r="AE67" s="28"/>
      <c r="AF67" s="28"/>
      <c r="AG67" s="28"/>
      <c r="AH67" s="535"/>
    </row>
    <row r="68" spans="1:32" ht="9.7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T68" s="5"/>
      <c r="U68" s="5"/>
      <c r="V68" s="5"/>
      <c r="Y68" s="2"/>
      <c r="Z68" s="2"/>
      <c r="AA68" s="2"/>
      <c r="AB68" s="5"/>
      <c r="AC68" s="5"/>
      <c r="AD68" s="5"/>
      <c r="AE68" s="5"/>
      <c r="AF68" s="2"/>
    </row>
    <row r="69" spans="1:32" ht="9.7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T69" s="5"/>
      <c r="U69" s="5"/>
      <c r="V69" s="5"/>
      <c r="Y69" s="2"/>
      <c r="Z69" s="2"/>
      <c r="AA69" s="2"/>
      <c r="AB69" s="5"/>
      <c r="AC69" s="5"/>
      <c r="AD69" s="5"/>
      <c r="AE69" s="5"/>
      <c r="AF69" s="2"/>
    </row>
    <row r="70" spans="1:35" ht="9.7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T70" s="5"/>
      <c r="U70" s="5"/>
      <c r="V70" s="5"/>
      <c r="Y70" s="2"/>
      <c r="Z70" s="2"/>
      <c r="AA70" s="2"/>
      <c r="AB70" s="5"/>
      <c r="AC70" s="5"/>
      <c r="AD70" s="5"/>
      <c r="AE70" s="5"/>
      <c r="AF70" s="2"/>
      <c r="AI70" s="458"/>
    </row>
    <row r="71" spans="1:32" ht="9.7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T71" s="5"/>
      <c r="U71" s="5"/>
      <c r="V71" s="5"/>
      <c r="Y71" s="2"/>
      <c r="Z71" s="2"/>
      <c r="AA71" s="2"/>
      <c r="AB71" s="5"/>
      <c r="AC71" s="5"/>
      <c r="AD71" s="5"/>
      <c r="AE71" s="5"/>
      <c r="AF71" s="2"/>
    </row>
    <row r="72" spans="1:32" ht="9.7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T72" s="5"/>
      <c r="U72" s="5"/>
      <c r="V72" s="5"/>
      <c r="Y72" s="2"/>
      <c r="Z72" s="2"/>
      <c r="AA72" s="2"/>
      <c r="AB72" s="5"/>
      <c r="AC72" s="5"/>
      <c r="AD72" s="5"/>
      <c r="AE72" s="5"/>
      <c r="AF72" s="2"/>
    </row>
    <row r="73" spans="1:35" ht="9.75" customHeight="1">
      <c r="A73" s="5"/>
      <c r="B73" s="16"/>
      <c r="C73" s="655"/>
      <c r="D73" s="65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T73" s="5"/>
      <c r="U73" s="5"/>
      <c r="V73" s="5"/>
      <c r="Y73" s="2"/>
      <c r="Z73" s="2"/>
      <c r="AA73" s="2"/>
      <c r="AB73" s="5"/>
      <c r="AC73" s="5"/>
      <c r="AD73" s="5"/>
      <c r="AE73" s="5"/>
      <c r="AF73" s="2"/>
      <c r="AI73" s="458"/>
    </row>
    <row r="74" spans="1:35" ht="9.75" customHeight="1">
      <c r="A74" s="5"/>
      <c r="B74" s="96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T74" s="5"/>
      <c r="U74" s="5"/>
      <c r="V74" s="5"/>
      <c r="Y74" s="2"/>
      <c r="Z74" s="2"/>
      <c r="AA74" s="2"/>
      <c r="AB74" s="5"/>
      <c r="AC74" s="5"/>
      <c r="AD74" s="5"/>
      <c r="AE74" s="5"/>
      <c r="AF74" s="2"/>
      <c r="AI74" s="458"/>
    </row>
    <row r="75" spans="1:32" ht="9.75" customHeight="1">
      <c r="A75" s="5"/>
      <c r="B75" s="96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T75" s="5"/>
      <c r="U75" s="5"/>
      <c r="V75" s="5"/>
      <c r="Y75" s="2"/>
      <c r="Z75" s="2"/>
      <c r="AA75" s="2"/>
      <c r="AB75" s="5"/>
      <c r="AC75" s="5"/>
      <c r="AD75" s="5"/>
      <c r="AE75" s="5"/>
      <c r="AF75" s="2"/>
    </row>
    <row r="76" spans="1:35" ht="9.75" customHeight="1">
      <c r="A76" s="5"/>
      <c r="B76" s="96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T76" s="5"/>
      <c r="U76" s="5"/>
      <c r="V76" s="5"/>
      <c r="Y76" s="2"/>
      <c r="Z76" s="2"/>
      <c r="AA76" s="2"/>
      <c r="AB76" s="5"/>
      <c r="AC76" s="5"/>
      <c r="AD76" s="5"/>
      <c r="AE76" s="5"/>
      <c r="AF76" s="2"/>
      <c r="AI76" s="458"/>
    </row>
    <row r="77" spans="1:32" ht="9.75" customHeight="1">
      <c r="A77" s="5"/>
      <c r="B77" s="96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T77" s="5"/>
      <c r="U77" s="5"/>
      <c r="V77" s="5"/>
      <c r="Y77" s="2"/>
      <c r="Z77" s="2"/>
      <c r="AA77" s="2"/>
      <c r="AB77" s="5"/>
      <c r="AC77" s="5"/>
      <c r="AD77" s="5"/>
      <c r="AE77" s="5"/>
      <c r="AF77" s="2"/>
    </row>
    <row r="78" spans="1:35" ht="9.75" customHeight="1">
      <c r="A78" s="5"/>
      <c r="B78" s="96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T78" s="5"/>
      <c r="U78" s="5"/>
      <c r="V78" s="5"/>
      <c r="Y78" s="2"/>
      <c r="Z78" s="2"/>
      <c r="AA78" s="2"/>
      <c r="AB78" s="5"/>
      <c r="AC78" s="5"/>
      <c r="AD78" s="5"/>
      <c r="AE78" s="5"/>
      <c r="AF78" s="2"/>
      <c r="AI78" s="458"/>
    </row>
    <row r="79" spans="1:36" ht="9.75" customHeight="1">
      <c r="A79" s="5"/>
      <c r="B79" s="96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T79" s="5"/>
      <c r="U79" s="5"/>
      <c r="V79" s="5"/>
      <c r="Y79" s="2"/>
      <c r="Z79" s="2"/>
      <c r="AA79" s="2"/>
      <c r="AB79" s="5"/>
      <c r="AC79" s="5"/>
      <c r="AD79" s="5"/>
      <c r="AE79" s="5"/>
      <c r="AF79" s="2"/>
      <c r="AG79" s="458"/>
      <c r="AH79" s="458"/>
      <c r="AI79" s="458"/>
      <c r="AJ79" s="458"/>
    </row>
    <row r="80" spans="1:32" ht="9.75" customHeight="1">
      <c r="A80" s="5"/>
      <c r="B80" s="96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T80" s="5"/>
      <c r="U80" s="5"/>
      <c r="V80" s="5"/>
      <c r="Y80" s="2"/>
      <c r="Z80" s="2"/>
      <c r="AA80" s="2"/>
      <c r="AB80" s="5"/>
      <c r="AC80" s="5"/>
      <c r="AD80" s="5"/>
      <c r="AE80" s="5"/>
      <c r="AF80" s="2"/>
    </row>
    <row r="81" spans="1:32" ht="9.75" customHeight="1">
      <c r="A81" s="5"/>
      <c r="B81" s="96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T81" s="5"/>
      <c r="U81" s="5"/>
      <c r="V81" s="5"/>
      <c r="Y81" s="2"/>
      <c r="Z81" s="2"/>
      <c r="AA81" s="2"/>
      <c r="AB81" s="5"/>
      <c r="AC81" s="5"/>
      <c r="AD81" s="5"/>
      <c r="AE81" s="5"/>
      <c r="AF81" s="2"/>
    </row>
    <row r="82" spans="1:32" ht="9.75" customHeight="1">
      <c r="A82" s="5"/>
      <c r="B82" s="96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T82" s="5"/>
      <c r="U82" s="5"/>
      <c r="V82" s="5"/>
      <c r="Y82" s="2"/>
      <c r="Z82" s="2"/>
      <c r="AA82" s="2"/>
      <c r="AB82" s="5"/>
      <c r="AC82" s="5"/>
      <c r="AD82" s="5"/>
      <c r="AE82" s="5"/>
      <c r="AF82" s="2"/>
    </row>
    <row r="83" spans="1:32" ht="9.75" customHeight="1">
      <c r="A83" s="5"/>
      <c r="B83" s="16"/>
      <c r="C83" s="655"/>
      <c r="D83" s="65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T83" s="5"/>
      <c r="U83" s="5"/>
      <c r="V83" s="5"/>
      <c r="Y83" s="2"/>
      <c r="Z83" s="2"/>
      <c r="AA83" s="2"/>
      <c r="AB83" s="5"/>
      <c r="AC83" s="5"/>
      <c r="AD83" s="5"/>
      <c r="AE83" s="5"/>
      <c r="AF83" s="2"/>
    </row>
    <row r="84" spans="1:32" ht="9.75" customHeight="1">
      <c r="A84" s="5"/>
      <c r="B84" s="96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T84" s="5"/>
      <c r="U84" s="5"/>
      <c r="V84" s="5"/>
      <c r="Y84" s="2"/>
      <c r="Z84" s="2"/>
      <c r="AA84" s="2"/>
      <c r="AB84" s="5"/>
      <c r="AC84" s="5"/>
      <c r="AD84" s="5"/>
      <c r="AE84" s="5"/>
      <c r="AF84" s="2"/>
    </row>
    <row r="85" spans="1:32" ht="9.75" customHeight="1">
      <c r="A85" s="5"/>
      <c r="B85" s="96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T85" s="5"/>
      <c r="U85" s="5"/>
      <c r="V85" s="5"/>
      <c r="Y85" s="2"/>
      <c r="Z85" s="2"/>
      <c r="AA85" s="2"/>
      <c r="AB85" s="5"/>
      <c r="AC85" s="5"/>
      <c r="AD85" s="5"/>
      <c r="AE85" s="5"/>
      <c r="AF85" s="2"/>
    </row>
    <row r="86" spans="1:32" ht="9.75" customHeight="1">
      <c r="A86" s="5"/>
      <c r="B86" s="96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T86" s="5"/>
      <c r="U86" s="5"/>
      <c r="V86" s="5"/>
      <c r="Y86" s="2"/>
      <c r="Z86" s="2"/>
      <c r="AA86" s="2"/>
      <c r="AB86" s="5"/>
      <c r="AC86" s="5"/>
      <c r="AD86" s="5"/>
      <c r="AE86" s="5"/>
      <c r="AF86" s="2"/>
    </row>
    <row r="87" spans="1:32" ht="9.75" customHeight="1">
      <c r="A87" s="5"/>
      <c r="B87" s="96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T87" s="5"/>
      <c r="U87" s="5"/>
      <c r="V87" s="5"/>
      <c r="Y87" s="2"/>
      <c r="Z87" s="2"/>
      <c r="AA87" s="2"/>
      <c r="AB87" s="5"/>
      <c r="AC87" s="5"/>
      <c r="AD87" s="5"/>
      <c r="AE87" s="5"/>
      <c r="AF87" s="2"/>
    </row>
    <row r="88" spans="1:32" ht="9.75" customHeight="1">
      <c r="A88" s="5"/>
      <c r="B88" s="96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T88" s="5"/>
      <c r="U88" s="5"/>
      <c r="V88" s="5"/>
      <c r="Y88" s="2"/>
      <c r="Z88" s="2"/>
      <c r="AA88" s="2"/>
      <c r="AB88" s="5"/>
      <c r="AC88" s="5"/>
      <c r="AD88" s="5"/>
      <c r="AE88" s="5"/>
      <c r="AF88" s="2"/>
    </row>
    <row r="89" spans="1:32" ht="9.75" customHeight="1">
      <c r="A89" s="5"/>
      <c r="B89" s="96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T89" s="5"/>
      <c r="U89" s="5"/>
      <c r="V89" s="5"/>
      <c r="Y89" s="2"/>
      <c r="Z89" s="2"/>
      <c r="AA89" s="2"/>
      <c r="AB89" s="5"/>
      <c r="AC89" s="5"/>
      <c r="AD89" s="5"/>
      <c r="AE89" s="5"/>
      <c r="AF89" s="2"/>
    </row>
    <row r="90" spans="1:32" ht="9.75" customHeight="1">
      <c r="A90" s="5"/>
      <c r="B90" s="96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T90" s="5"/>
      <c r="U90" s="5"/>
      <c r="V90" s="5"/>
      <c r="Y90" s="2"/>
      <c r="Z90" s="2"/>
      <c r="AA90" s="2"/>
      <c r="AB90" s="5"/>
      <c r="AC90" s="5"/>
      <c r="AD90" s="5"/>
      <c r="AE90" s="5"/>
      <c r="AF90" s="2"/>
    </row>
    <row r="91" spans="1:32" ht="9.75" customHeight="1">
      <c r="A91" s="5"/>
      <c r="B91" s="96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T91" s="5"/>
      <c r="U91" s="5"/>
      <c r="V91" s="5"/>
      <c r="Y91" s="2"/>
      <c r="Z91" s="2"/>
      <c r="AA91" s="2"/>
      <c r="AB91" s="5"/>
      <c r="AC91" s="5"/>
      <c r="AD91" s="5"/>
      <c r="AE91" s="5"/>
      <c r="AF91" s="2"/>
    </row>
    <row r="92" spans="1:35" ht="9.75" customHeight="1">
      <c r="A92" s="5"/>
      <c r="B92" s="16"/>
      <c r="C92" s="655"/>
      <c r="D92" s="65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T92" s="5"/>
      <c r="U92" s="5"/>
      <c r="V92" s="5"/>
      <c r="Y92" s="2"/>
      <c r="Z92" s="2"/>
      <c r="AA92" s="2"/>
      <c r="AB92" s="5"/>
      <c r="AC92" s="5"/>
      <c r="AD92" s="5"/>
      <c r="AE92" s="5"/>
      <c r="AF92" s="2"/>
      <c r="AI92" s="29"/>
    </row>
    <row r="93" spans="1:32" ht="9.75" customHeight="1">
      <c r="A93" s="5"/>
      <c r="B93" s="96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T93" s="5"/>
      <c r="U93" s="5"/>
      <c r="V93" s="5"/>
      <c r="Y93" s="2"/>
      <c r="Z93" s="2"/>
      <c r="AA93" s="2"/>
      <c r="AB93" s="5"/>
      <c r="AC93" s="5"/>
      <c r="AD93" s="5"/>
      <c r="AE93" s="5"/>
      <c r="AF93" s="2"/>
    </row>
    <row r="94" spans="1:35" ht="9.75" customHeight="1">
      <c r="A94" s="5"/>
      <c r="B94" s="96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T94" s="5"/>
      <c r="U94" s="5"/>
      <c r="V94" s="5"/>
      <c r="Y94" s="2"/>
      <c r="Z94" s="2"/>
      <c r="AA94" s="2"/>
      <c r="AB94" s="5"/>
      <c r="AC94" s="5"/>
      <c r="AD94" s="5"/>
      <c r="AE94" s="5"/>
      <c r="AF94" s="2"/>
      <c r="AI94" s="29"/>
    </row>
    <row r="95" spans="1:32" ht="9.75" customHeight="1">
      <c r="A95" s="5"/>
      <c r="B95" s="96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T95" s="5"/>
      <c r="U95" s="5"/>
      <c r="V95" s="5"/>
      <c r="Y95" s="2"/>
      <c r="Z95" s="2"/>
      <c r="AA95" s="2"/>
      <c r="AB95" s="5"/>
      <c r="AC95" s="5"/>
      <c r="AD95" s="5"/>
      <c r="AE95" s="5"/>
      <c r="AF95" s="2"/>
    </row>
    <row r="96" spans="1:32" ht="9.75" customHeight="1">
      <c r="A96" s="5"/>
      <c r="B96" s="96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T96" s="5"/>
      <c r="U96" s="5"/>
      <c r="V96" s="5"/>
      <c r="Y96" s="2"/>
      <c r="Z96" s="2"/>
      <c r="AA96" s="2"/>
      <c r="AB96" s="5"/>
      <c r="AC96" s="5"/>
      <c r="AD96" s="5"/>
      <c r="AE96" s="5"/>
      <c r="AF96" s="2"/>
    </row>
    <row r="97" spans="1:32" ht="9.75" customHeight="1">
      <c r="A97" s="5"/>
      <c r="B97" s="96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T97" s="5"/>
      <c r="U97" s="5"/>
      <c r="V97" s="5"/>
      <c r="Y97" s="2"/>
      <c r="Z97" s="2"/>
      <c r="AA97" s="2"/>
      <c r="AB97" s="5"/>
      <c r="AC97" s="5"/>
      <c r="AD97" s="5"/>
      <c r="AE97" s="5"/>
      <c r="AF97" s="2"/>
    </row>
    <row r="98" spans="1:35" ht="9.75" customHeight="1">
      <c r="A98" s="5"/>
      <c r="B98" s="96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T98" s="5"/>
      <c r="U98" s="5"/>
      <c r="V98" s="5"/>
      <c r="Y98" s="2"/>
      <c r="Z98" s="2"/>
      <c r="AA98" s="2"/>
      <c r="AB98" s="5"/>
      <c r="AC98" s="5"/>
      <c r="AD98" s="5"/>
      <c r="AE98" s="5"/>
      <c r="AF98" s="2"/>
      <c r="AI98" s="457"/>
    </row>
    <row r="99" spans="1:35" ht="9.75" customHeight="1">
      <c r="A99" s="5"/>
      <c r="B99" s="96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T99" s="5"/>
      <c r="U99" s="5"/>
      <c r="V99" s="5"/>
      <c r="Y99" s="2"/>
      <c r="Z99" s="2"/>
      <c r="AA99" s="2"/>
      <c r="AB99" s="5"/>
      <c r="AC99" s="5"/>
      <c r="AD99" s="5"/>
      <c r="AE99" s="5"/>
      <c r="AF99" s="2"/>
      <c r="AI99" s="457"/>
    </row>
    <row r="100" spans="1:32" ht="9.75" customHeight="1">
      <c r="A100" s="5"/>
      <c r="B100" s="96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T100" s="5"/>
      <c r="U100" s="5"/>
      <c r="V100" s="5"/>
      <c r="Y100" s="2"/>
      <c r="Z100" s="2"/>
      <c r="AA100" s="2"/>
      <c r="AB100" s="5"/>
      <c r="AC100" s="5"/>
      <c r="AD100" s="5"/>
      <c r="AE100" s="5"/>
      <c r="AF100" s="2"/>
    </row>
    <row r="101" spans="1:32" ht="9.75" customHeight="1">
      <c r="A101" s="5"/>
      <c r="B101" s="16"/>
      <c r="C101" s="655"/>
      <c r="D101" s="65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T101" s="5"/>
      <c r="U101" s="5"/>
      <c r="V101" s="5"/>
      <c r="Y101" s="2"/>
      <c r="Z101" s="2"/>
      <c r="AA101" s="2"/>
      <c r="AB101" s="5"/>
      <c r="AC101" s="5"/>
      <c r="AD101" s="5"/>
      <c r="AE101" s="5"/>
      <c r="AF101" s="2"/>
    </row>
    <row r="102" spans="1:35" ht="9.75" customHeight="1">
      <c r="A102" s="5"/>
      <c r="B102" s="96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T102" s="5"/>
      <c r="U102" s="5"/>
      <c r="V102" s="5"/>
      <c r="Y102" s="2"/>
      <c r="Z102" s="2"/>
      <c r="AA102" s="2"/>
      <c r="AB102" s="5"/>
      <c r="AC102" s="5"/>
      <c r="AD102" s="5"/>
      <c r="AE102" s="5"/>
      <c r="AF102" s="2"/>
      <c r="AI102" s="457"/>
    </row>
    <row r="103" spans="1:32" ht="9.75" customHeight="1">
      <c r="A103" s="5"/>
      <c r="B103" s="96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T103" s="5"/>
      <c r="U103" s="5"/>
      <c r="V103" s="5"/>
      <c r="Y103" s="2"/>
      <c r="Z103" s="2"/>
      <c r="AA103" s="2"/>
      <c r="AB103" s="5"/>
      <c r="AC103" s="5"/>
      <c r="AD103" s="5"/>
      <c r="AE103" s="5"/>
      <c r="AF103" s="2"/>
    </row>
    <row r="104" spans="1:32" ht="9.75" customHeight="1">
      <c r="A104" s="5"/>
      <c r="B104" s="96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T104" s="5"/>
      <c r="U104" s="5"/>
      <c r="V104" s="5"/>
      <c r="Y104" s="2"/>
      <c r="Z104" s="2"/>
      <c r="AA104" s="2"/>
      <c r="AB104" s="5"/>
      <c r="AC104" s="5"/>
      <c r="AD104" s="5"/>
      <c r="AE104" s="5"/>
      <c r="AF104" s="2"/>
    </row>
    <row r="105" spans="1:32" ht="9.75" customHeight="1">
      <c r="A105" s="5"/>
      <c r="B105" s="96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T105" s="5"/>
      <c r="U105" s="5"/>
      <c r="V105" s="5"/>
      <c r="Y105" s="2"/>
      <c r="Z105" s="2"/>
      <c r="AA105" s="2"/>
      <c r="AB105" s="5"/>
      <c r="AC105" s="5"/>
      <c r="AD105" s="5"/>
      <c r="AE105" s="5"/>
      <c r="AF105" s="2"/>
    </row>
    <row r="106" spans="1:35" ht="9.75" customHeight="1">
      <c r="A106" s="5"/>
      <c r="B106" s="96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T106" s="5"/>
      <c r="U106" s="5"/>
      <c r="V106" s="5"/>
      <c r="Y106" s="2"/>
      <c r="Z106" s="2"/>
      <c r="AA106" s="2"/>
      <c r="AB106" s="5"/>
      <c r="AC106" s="5"/>
      <c r="AD106" s="5"/>
      <c r="AE106" s="5"/>
      <c r="AF106" s="2"/>
      <c r="AI106" s="29"/>
    </row>
    <row r="107" spans="1:32" ht="9.75" customHeight="1">
      <c r="A107" s="5"/>
      <c r="B107" s="96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T107" s="5"/>
      <c r="U107" s="5"/>
      <c r="V107" s="5"/>
      <c r="Y107" s="2"/>
      <c r="Z107" s="2"/>
      <c r="AA107" s="2"/>
      <c r="AB107" s="5"/>
      <c r="AC107" s="5"/>
      <c r="AD107" s="5"/>
      <c r="AE107" s="5"/>
      <c r="AF107" s="2"/>
    </row>
    <row r="108" spans="1:32" ht="9.75" customHeight="1">
      <c r="A108" s="5"/>
      <c r="B108" s="96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T108" s="5"/>
      <c r="U108" s="5"/>
      <c r="V108" s="5"/>
      <c r="Y108" s="2"/>
      <c r="Z108" s="2"/>
      <c r="AA108" s="2"/>
      <c r="AB108" s="5"/>
      <c r="AC108" s="5"/>
      <c r="AD108" s="5"/>
      <c r="AE108" s="5"/>
      <c r="AF108" s="2"/>
    </row>
    <row r="109" spans="1:32" ht="9.75" customHeight="1">
      <c r="A109" s="5"/>
      <c r="B109" s="96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T109" s="5"/>
      <c r="U109" s="5"/>
      <c r="V109" s="5"/>
      <c r="Y109" s="2"/>
      <c r="Z109" s="2"/>
      <c r="AA109" s="2"/>
      <c r="AB109" s="5"/>
      <c r="AC109" s="5"/>
      <c r="AD109" s="5"/>
      <c r="AE109" s="5"/>
      <c r="AF109" s="2"/>
    </row>
    <row r="110" spans="1:32" ht="9.7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T110" s="5"/>
      <c r="U110" s="5"/>
      <c r="V110" s="5"/>
      <c r="Y110" s="2"/>
      <c r="Z110" s="2"/>
      <c r="AA110" s="2"/>
      <c r="AB110" s="5"/>
      <c r="AC110" s="5"/>
      <c r="AD110" s="5"/>
      <c r="AE110" s="5"/>
      <c r="AF110" s="2"/>
    </row>
    <row r="111" spans="1:32" ht="9.7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T111" s="5"/>
      <c r="U111" s="5"/>
      <c r="V111" s="5"/>
      <c r="Y111" s="2"/>
      <c r="Z111" s="2"/>
      <c r="AA111" s="2"/>
      <c r="AB111" s="5"/>
      <c r="AC111" s="5"/>
      <c r="AD111" s="5"/>
      <c r="AE111" s="5"/>
      <c r="AF111" s="2"/>
    </row>
    <row r="112" spans="1:32" ht="9.7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T112" s="5"/>
      <c r="U112" s="5"/>
      <c r="V112" s="5"/>
      <c r="Y112" s="2"/>
      <c r="Z112" s="2"/>
      <c r="AA112" s="2"/>
      <c r="AB112" s="5"/>
      <c r="AC112" s="5"/>
      <c r="AD112" s="5"/>
      <c r="AE112" s="5"/>
      <c r="AF112" s="2"/>
    </row>
    <row r="113" spans="1:32" ht="9.7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T113" s="5"/>
      <c r="U113" s="5"/>
      <c r="V113" s="5"/>
      <c r="Y113" s="2"/>
      <c r="Z113" s="2"/>
      <c r="AA113" s="2"/>
      <c r="AB113" s="5"/>
      <c r="AC113" s="5"/>
      <c r="AD113" s="5"/>
      <c r="AE113" s="5"/>
      <c r="AF113" s="2"/>
    </row>
    <row r="114" spans="1:32" ht="9.7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T114" s="5"/>
      <c r="U114" s="5"/>
      <c r="V114" s="5"/>
      <c r="Y114" s="2"/>
      <c r="Z114" s="2"/>
      <c r="AA114" s="2"/>
      <c r="AB114" s="5"/>
      <c r="AC114" s="5"/>
      <c r="AD114" s="5"/>
      <c r="AE114" s="5"/>
      <c r="AF114" s="2"/>
    </row>
    <row r="115" spans="1:32" ht="9.7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T115" s="5"/>
      <c r="U115" s="5"/>
      <c r="V115" s="5"/>
      <c r="Y115" s="2"/>
      <c r="Z115" s="2"/>
      <c r="AA115" s="2"/>
      <c r="AB115" s="5"/>
      <c r="AC115" s="5"/>
      <c r="AD115" s="5"/>
      <c r="AE115" s="5"/>
      <c r="AF115" s="2"/>
    </row>
    <row r="116" spans="1:32" ht="9.7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T116" s="5"/>
      <c r="U116" s="5"/>
      <c r="V116" s="5"/>
      <c r="Y116" s="2"/>
      <c r="Z116" s="2"/>
      <c r="AA116" s="2"/>
      <c r="AB116" s="5"/>
      <c r="AC116" s="5"/>
      <c r="AD116" s="5"/>
      <c r="AE116" s="5"/>
      <c r="AF116" s="2"/>
    </row>
    <row r="117" spans="1:32" ht="9.7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T117" s="5"/>
      <c r="U117" s="5"/>
      <c r="V117" s="5"/>
      <c r="Y117" s="2"/>
      <c r="Z117" s="2"/>
      <c r="AA117" s="2"/>
      <c r="AB117" s="5"/>
      <c r="AC117" s="5"/>
      <c r="AD117" s="5"/>
      <c r="AE117" s="5"/>
      <c r="AF117" s="2"/>
    </row>
    <row r="118" spans="1:32" ht="9.7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T118" s="5"/>
      <c r="U118" s="5"/>
      <c r="V118" s="5"/>
      <c r="Y118" s="2"/>
      <c r="Z118" s="2"/>
      <c r="AA118" s="2"/>
      <c r="AB118" s="5"/>
      <c r="AC118" s="5"/>
      <c r="AD118" s="5"/>
      <c r="AE118" s="5"/>
      <c r="AF118" s="2"/>
    </row>
    <row r="119" spans="1:32" ht="9.7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T119" s="5"/>
      <c r="U119" s="5"/>
      <c r="V119" s="5"/>
      <c r="Y119" s="2"/>
      <c r="Z119" s="2"/>
      <c r="AA119" s="2"/>
      <c r="AB119" s="5"/>
      <c r="AC119" s="5"/>
      <c r="AD119" s="5"/>
      <c r="AE119" s="5"/>
      <c r="AF119" s="2"/>
    </row>
    <row r="120" spans="1:32" ht="9.7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T120" s="5"/>
      <c r="U120" s="5"/>
      <c r="V120" s="5"/>
      <c r="Y120" s="2"/>
      <c r="Z120" s="2"/>
      <c r="AA120" s="2"/>
      <c r="AB120" s="5"/>
      <c r="AC120" s="5"/>
      <c r="AD120" s="5"/>
      <c r="AE120" s="5"/>
      <c r="AF120" s="2"/>
    </row>
    <row r="121" spans="1:32" ht="9.7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T121" s="5"/>
      <c r="U121" s="5"/>
      <c r="V121" s="5"/>
      <c r="Y121" s="2"/>
      <c r="Z121" s="2"/>
      <c r="AA121" s="2"/>
      <c r="AB121" s="5"/>
      <c r="AC121" s="5"/>
      <c r="AD121" s="5"/>
      <c r="AE121" s="5"/>
      <c r="AF121" s="2"/>
    </row>
    <row r="122" spans="1:32" ht="9.7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T122" s="5"/>
      <c r="U122" s="5"/>
      <c r="V122" s="5"/>
      <c r="Y122" s="2"/>
      <c r="Z122" s="2"/>
      <c r="AA122" s="2"/>
      <c r="AB122" s="5"/>
      <c r="AC122" s="5"/>
      <c r="AD122" s="5"/>
      <c r="AE122" s="5"/>
      <c r="AF122" s="2"/>
    </row>
    <row r="123" spans="1:32" ht="9.7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T123" s="5"/>
      <c r="U123" s="5"/>
      <c r="V123" s="5"/>
      <c r="Y123" s="2"/>
      <c r="Z123" s="2"/>
      <c r="AA123" s="2"/>
      <c r="AB123" s="5"/>
      <c r="AC123" s="5"/>
      <c r="AD123" s="5"/>
      <c r="AE123" s="5"/>
      <c r="AF123" s="2"/>
    </row>
    <row r="124" spans="1:32" ht="9.7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T124" s="5"/>
      <c r="U124" s="5"/>
      <c r="V124" s="5"/>
      <c r="Y124" s="2"/>
      <c r="Z124" s="2"/>
      <c r="AA124" s="2"/>
      <c r="AB124" s="5"/>
      <c r="AC124" s="5"/>
      <c r="AD124" s="5"/>
      <c r="AE124" s="5"/>
      <c r="AF124" s="2"/>
    </row>
    <row r="125" spans="1:32" ht="9.7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T125" s="5"/>
      <c r="U125" s="5"/>
      <c r="V125" s="5"/>
      <c r="Y125" s="2"/>
      <c r="Z125" s="2"/>
      <c r="AA125" s="2"/>
      <c r="AB125" s="5"/>
      <c r="AC125" s="5"/>
      <c r="AD125" s="5"/>
      <c r="AE125" s="5"/>
      <c r="AF125" s="2"/>
    </row>
    <row r="126" spans="1:32" ht="9.7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T126" s="5"/>
      <c r="U126" s="5"/>
      <c r="V126" s="5"/>
      <c r="Y126" s="2"/>
      <c r="Z126" s="2"/>
      <c r="AA126" s="2"/>
      <c r="AB126" s="5"/>
      <c r="AC126" s="5"/>
      <c r="AD126" s="5"/>
      <c r="AE126" s="5"/>
      <c r="AF126" s="2"/>
    </row>
    <row r="127" spans="1:32" ht="9.7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T127" s="5"/>
      <c r="U127" s="5"/>
      <c r="V127" s="5"/>
      <c r="Y127" s="2"/>
      <c r="Z127" s="2"/>
      <c r="AA127" s="2"/>
      <c r="AB127" s="5"/>
      <c r="AC127" s="5"/>
      <c r="AD127" s="5"/>
      <c r="AE127" s="5"/>
      <c r="AF127" s="2"/>
    </row>
    <row r="128" spans="1:32" ht="9.7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T128" s="5"/>
      <c r="U128" s="5"/>
      <c r="V128" s="5"/>
      <c r="Y128" s="2"/>
      <c r="Z128" s="2"/>
      <c r="AA128" s="2"/>
      <c r="AB128" s="5"/>
      <c r="AC128" s="5"/>
      <c r="AD128" s="5"/>
      <c r="AE128" s="5"/>
      <c r="AF128" s="2"/>
    </row>
    <row r="129" spans="1:32" ht="9.7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T129" s="5"/>
      <c r="U129" s="5"/>
      <c r="V129" s="5"/>
      <c r="Y129" s="2"/>
      <c r="Z129" s="2"/>
      <c r="AA129" s="2"/>
      <c r="AB129" s="5"/>
      <c r="AC129" s="5"/>
      <c r="AD129" s="5"/>
      <c r="AE129" s="5"/>
      <c r="AF129" s="2"/>
    </row>
    <row r="130" spans="1:32" ht="9.7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T130" s="5"/>
      <c r="U130" s="5"/>
      <c r="V130" s="5"/>
      <c r="Y130" s="2"/>
      <c r="Z130" s="2"/>
      <c r="AA130" s="2"/>
      <c r="AB130" s="5"/>
      <c r="AC130" s="5"/>
      <c r="AD130" s="5"/>
      <c r="AE130" s="5"/>
      <c r="AF130" s="2"/>
    </row>
    <row r="131" spans="1:32" ht="9.7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T131" s="5"/>
      <c r="U131" s="5"/>
      <c r="V131" s="5"/>
      <c r="Y131" s="2"/>
      <c r="Z131" s="2"/>
      <c r="AA131" s="2"/>
      <c r="AB131" s="5"/>
      <c r="AC131" s="5"/>
      <c r="AD131" s="5"/>
      <c r="AE131" s="5"/>
      <c r="AF131" s="2"/>
    </row>
    <row r="132" spans="1:32" ht="9.7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T132" s="5"/>
      <c r="U132" s="5"/>
      <c r="V132" s="5"/>
      <c r="Y132" s="2"/>
      <c r="Z132" s="2"/>
      <c r="AA132" s="2"/>
      <c r="AB132" s="5"/>
      <c r="AC132" s="5"/>
      <c r="AD132" s="5"/>
      <c r="AE132" s="5"/>
      <c r="AF132" s="2"/>
    </row>
    <row r="133" spans="1:32" ht="9.7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T133" s="5"/>
      <c r="U133" s="5"/>
      <c r="V133" s="5"/>
      <c r="Y133" s="2"/>
      <c r="Z133" s="2"/>
      <c r="AA133" s="2"/>
      <c r="AB133" s="5"/>
      <c r="AC133" s="5"/>
      <c r="AD133" s="5"/>
      <c r="AE133" s="5"/>
      <c r="AF133" s="2"/>
    </row>
    <row r="134" spans="1:32" ht="9.7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T134" s="5"/>
      <c r="U134" s="5"/>
      <c r="V134" s="5"/>
      <c r="Y134" s="2"/>
      <c r="Z134" s="2"/>
      <c r="AA134" s="2"/>
      <c r="AB134" s="5"/>
      <c r="AC134" s="5"/>
      <c r="AD134" s="5"/>
      <c r="AE134" s="5"/>
      <c r="AF134" s="2"/>
    </row>
    <row r="135" spans="1:32" ht="9.7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T135" s="5"/>
      <c r="U135" s="5"/>
      <c r="V135" s="5"/>
      <c r="Y135" s="2"/>
      <c r="Z135" s="2"/>
      <c r="AA135" s="2"/>
      <c r="AB135" s="5"/>
      <c r="AC135" s="5"/>
      <c r="AD135" s="5"/>
      <c r="AE135" s="5"/>
      <c r="AF135" s="2"/>
    </row>
    <row r="136" spans="1:32" ht="9.7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T136" s="5"/>
      <c r="U136" s="5"/>
      <c r="V136" s="5"/>
      <c r="Y136" s="2"/>
      <c r="Z136" s="2"/>
      <c r="AA136" s="2"/>
      <c r="AB136" s="5"/>
      <c r="AC136" s="5"/>
      <c r="AD136" s="5"/>
      <c r="AE136" s="5"/>
      <c r="AF136" s="2"/>
    </row>
    <row r="137" spans="1:32" ht="9.7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T137" s="5"/>
      <c r="U137" s="5"/>
      <c r="V137" s="5"/>
      <c r="Y137" s="2"/>
      <c r="Z137" s="2"/>
      <c r="AA137" s="2"/>
      <c r="AB137" s="5"/>
      <c r="AC137" s="5"/>
      <c r="AD137" s="5"/>
      <c r="AE137" s="5"/>
      <c r="AF137" s="2"/>
    </row>
    <row r="138" spans="1:32" ht="9.7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T138" s="5"/>
      <c r="U138" s="5"/>
      <c r="V138" s="5"/>
      <c r="Y138" s="2"/>
      <c r="Z138" s="2"/>
      <c r="AA138" s="2"/>
      <c r="AB138" s="5"/>
      <c r="AC138" s="5"/>
      <c r="AD138" s="5"/>
      <c r="AE138" s="5"/>
      <c r="AF138" s="2"/>
    </row>
    <row r="139" spans="1:32" ht="9.7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T139" s="5"/>
      <c r="U139" s="5"/>
      <c r="V139" s="5"/>
      <c r="Y139" s="2"/>
      <c r="Z139" s="2"/>
      <c r="AA139" s="2"/>
      <c r="AB139" s="5"/>
      <c r="AC139" s="5"/>
      <c r="AD139" s="5"/>
      <c r="AE139" s="5"/>
      <c r="AF139" s="2"/>
    </row>
    <row r="140" spans="1:32" ht="9.7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T140" s="5"/>
      <c r="U140" s="5"/>
      <c r="V140" s="5"/>
      <c r="Y140" s="2"/>
      <c r="Z140" s="2"/>
      <c r="AA140" s="2"/>
      <c r="AB140" s="5"/>
      <c r="AC140" s="5"/>
      <c r="AD140" s="5"/>
      <c r="AE140" s="5"/>
      <c r="AF140" s="2"/>
    </row>
    <row r="141" spans="1:32" ht="9.7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T141" s="5"/>
      <c r="U141" s="5"/>
      <c r="V141" s="5"/>
      <c r="Y141" s="2"/>
      <c r="Z141" s="2"/>
      <c r="AA141" s="2"/>
      <c r="AB141" s="5"/>
      <c r="AC141" s="5"/>
      <c r="AD141" s="5"/>
      <c r="AE141" s="5"/>
      <c r="AF141" s="2"/>
    </row>
    <row r="142" spans="1:32" ht="9.7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T142" s="5"/>
      <c r="U142" s="5"/>
      <c r="V142" s="5"/>
      <c r="Y142" s="2"/>
      <c r="Z142" s="2"/>
      <c r="AA142" s="2"/>
      <c r="AB142" s="5"/>
      <c r="AC142" s="5"/>
      <c r="AD142" s="5"/>
      <c r="AE142" s="5"/>
      <c r="AF142" s="2"/>
    </row>
    <row r="143" spans="1:32" ht="9.7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T143" s="5"/>
      <c r="U143" s="5"/>
      <c r="V143" s="5"/>
      <c r="Y143" s="2"/>
      <c r="Z143" s="2"/>
      <c r="AA143" s="2"/>
      <c r="AB143" s="5"/>
      <c r="AC143" s="5"/>
      <c r="AD143" s="5"/>
      <c r="AE143" s="5"/>
      <c r="AF143" s="2"/>
    </row>
    <row r="144" spans="1:32" ht="9.7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T144" s="5"/>
      <c r="U144" s="5"/>
      <c r="V144" s="5"/>
      <c r="Y144" s="2"/>
      <c r="Z144" s="2"/>
      <c r="AA144" s="2"/>
      <c r="AB144" s="5"/>
      <c r="AC144" s="5"/>
      <c r="AD144" s="5"/>
      <c r="AE144" s="5"/>
      <c r="AF144" s="2"/>
    </row>
    <row r="145" spans="1:32" ht="9.7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T145" s="5"/>
      <c r="U145" s="5"/>
      <c r="V145" s="5"/>
      <c r="Y145" s="2"/>
      <c r="Z145" s="2"/>
      <c r="AA145" s="2"/>
      <c r="AB145" s="5"/>
      <c r="AC145" s="5"/>
      <c r="AD145" s="5"/>
      <c r="AE145" s="5"/>
      <c r="AF145" s="2"/>
    </row>
    <row r="146" spans="1:32" ht="9.7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T146" s="5"/>
      <c r="U146" s="5"/>
      <c r="V146" s="5"/>
      <c r="Y146" s="2"/>
      <c r="Z146" s="2"/>
      <c r="AA146" s="2"/>
      <c r="AB146" s="5"/>
      <c r="AC146" s="5"/>
      <c r="AD146" s="5"/>
      <c r="AE146" s="5"/>
      <c r="AF146" s="2"/>
    </row>
    <row r="147" spans="1:32" ht="9.7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T147" s="5"/>
      <c r="U147" s="5"/>
      <c r="V147" s="5"/>
      <c r="Y147" s="2"/>
      <c r="Z147" s="2"/>
      <c r="AA147" s="2"/>
      <c r="AB147" s="5"/>
      <c r="AC147" s="5"/>
      <c r="AD147" s="5"/>
      <c r="AE147" s="5"/>
      <c r="AF147" s="2"/>
    </row>
    <row r="148" spans="1:32" ht="9.7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T148" s="5"/>
      <c r="U148" s="5"/>
      <c r="V148" s="5"/>
      <c r="Y148" s="2"/>
      <c r="Z148" s="2"/>
      <c r="AA148" s="2"/>
      <c r="AB148" s="5"/>
      <c r="AC148" s="5"/>
      <c r="AD148" s="5"/>
      <c r="AE148" s="5"/>
      <c r="AF148" s="2"/>
    </row>
    <row r="149" spans="1:32" ht="9.7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T149" s="5"/>
      <c r="U149" s="5"/>
      <c r="V149" s="5"/>
      <c r="Y149" s="2"/>
      <c r="Z149" s="2"/>
      <c r="AA149" s="2"/>
      <c r="AB149" s="5"/>
      <c r="AC149" s="5"/>
      <c r="AD149" s="5"/>
      <c r="AE149" s="5"/>
      <c r="AF149" s="2"/>
    </row>
    <row r="150" spans="1:32" ht="9.7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T150" s="5"/>
      <c r="U150" s="5"/>
      <c r="V150" s="5"/>
      <c r="Y150" s="2"/>
      <c r="Z150" s="2"/>
      <c r="AA150" s="2"/>
      <c r="AB150" s="5"/>
      <c r="AC150" s="5"/>
      <c r="AD150" s="5"/>
      <c r="AE150" s="5"/>
      <c r="AF150" s="2"/>
    </row>
    <row r="151" spans="1:32" ht="9.7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T151" s="5"/>
      <c r="U151" s="5"/>
      <c r="V151" s="5"/>
      <c r="Y151" s="2"/>
      <c r="Z151" s="2"/>
      <c r="AA151" s="2"/>
      <c r="AB151" s="5"/>
      <c r="AC151" s="5"/>
      <c r="AD151" s="5"/>
      <c r="AE151" s="5"/>
      <c r="AF151" s="2"/>
    </row>
    <row r="152" spans="1:32" ht="9.7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T152" s="5"/>
      <c r="U152" s="5"/>
      <c r="V152" s="5"/>
      <c r="Y152" s="2"/>
      <c r="Z152" s="2"/>
      <c r="AA152" s="2"/>
      <c r="AB152" s="5"/>
      <c r="AC152" s="5"/>
      <c r="AD152" s="5"/>
      <c r="AE152" s="5"/>
      <c r="AF152" s="2"/>
    </row>
    <row r="153" spans="1:32" ht="9.7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T153" s="5"/>
      <c r="U153" s="5"/>
      <c r="V153" s="5"/>
      <c r="Y153" s="2"/>
      <c r="Z153" s="2"/>
      <c r="AA153" s="2"/>
      <c r="AB153" s="5"/>
      <c r="AC153" s="5"/>
      <c r="AD153" s="5"/>
      <c r="AE153" s="5"/>
      <c r="AF153" s="2"/>
    </row>
    <row r="154" spans="1:32" ht="9.7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T154" s="5"/>
      <c r="U154" s="5"/>
      <c r="V154" s="5"/>
      <c r="Y154" s="2"/>
      <c r="Z154" s="2"/>
      <c r="AA154" s="2"/>
      <c r="AB154" s="5"/>
      <c r="AC154" s="5"/>
      <c r="AD154" s="5"/>
      <c r="AE154" s="5"/>
      <c r="AF154" s="2"/>
    </row>
    <row r="155" spans="1:32" ht="9.7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T155" s="5"/>
      <c r="U155" s="5"/>
      <c r="V155" s="5"/>
      <c r="Y155" s="2"/>
      <c r="Z155" s="2"/>
      <c r="AA155" s="2"/>
      <c r="AB155" s="5"/>
      <c r="AC155" s="5"/>
      <c r="AD155" s="5"/>
      <c r="AE155" s="5"/>
      <c r="AF155" s="2"/>
    </row>
    <row r="156" spans="1:32" ht="9.7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T156" s="5"/>
      <c r="U156" s="5"/>
      <c r="V156" s="5"/>
      <c r="Y156" s="2"/>
      <c r="Z156" s="2"/>
      <c r="AA156" s="2"/>
      <c r="AB156" s="5"/>
      <c r="AC156" s="5"/>
      <c r="AD156" s="5"/>
      <c r="AE156" s="5"/>
      <c r="AF156" s="2"/>
    </row>
    <row r="157" spans="1:32" ht="9.7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T157" s="5"/>
      <c r="U157" s="5"/>
      <c r="V157" s="5"/>
      <c r="Y157" s="2"/>
      <c r="Z157" s="2"/>
      <c r="AA157" s="2"/>
      <c r="AB157" s="5"/>
      <c r="AC157" s="5"/>
      <c r="AD157" s="5"/>
      <c r="AE157" s="5"/>
      <c r="AF157" s="2"/>
    </row>
    <row r="158" spans="1:32" ht="9.7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T158" s="5"/>
      <c r="U158" s="5"/>
      <c r="V158" s="5"/>
      <c r="Y158" s="2"/>
      <c r="Z158" s="2"/>
      <c r="AA158" s="2"/>
      <c r="AB158" s="5"/>
      <c r="AC158" s="5"/>
      <c r="AD158" s="5"/>
      <c r="AE158" s="5"/>
      <c r="AF158" s="2"/>
    </row>
    <row r="159" spans="1:32" ht="9.7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T159" s="5"/>
      <c r="U159" s="5"/>
      <c r="V159" s="5"/>
      <c r="Y159" s="2"/>
      <c r="Z159" s="2"/>
      <c r="AA159" s="2"/>
      <c r="AB159" s="5"/>
      <c r="AC159" s="5"/>
      <c r="AD159" s="5"/>
      <c r="AE159" s="5"/>
      <c r="AF159" s="2"/>
    </row>
    <row r="160" spans="1:32" ht="9.7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T160" s="5"/>
      <c r="U160" s="5"/>
      <c r="V160" s="5"/>
      <c r="Y160" s="2"/>
      <c r="Z160" s="2"/>
      <c r="AA160" s="2"/>
      <c r="AB160" s="5"/>
      <c r="AC160" s="5"/>
      <c r="AD160" s="5"/>
      <c r="AE160" s="5"/>
      <c r="AF160" s="2"/>
    </row>
    <row r="161" spans="1:32" ht="9.7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T161" s="5"/>
      <c r="U161" s="5"/>
      <c r="V161" s="5"/>
      <c r="Y161" s="2"/>
      <c r="Z161" s="2"/>
      <c r="AA161" s="2"/>
      <c r="AB161" s="5"/>
      <c r="AC161" s="5"/>
      <c r="AD161" s="5"/>
      <c r="AE161" s="5"/>
      <c r="AF161" s="2"/>
    </row>
    <row r="162" spans="1:32" ht="9.7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T162" s="5"/>
      <c r="U162" s="5"/>
      <c r="V162" s="5"/>
      <c r="Y162" s="2"/>
      <c r="Z162" s="2"/>
      <c r="AA162" s="2"/>
      <c r="AB162" s="5"/>
      <c r="AC162" s="5"/>
      <c r="AD162" s="5"/>
      <c r="AE162" s="5"/>
      <c r="AF162" s="2"/>
    </row>
    <row r="163" spans="1:32" ht="9.7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T163" s="5"/>
      <c r="U163" s="5"/>
      <c r="V163" s="5"/>
      <c r="Y163" s="2"/>
      <c r="Z163" s="2"/>
      <c r="AA163" s="2"/>
      <c r="AB163" s="5"/>
      <c r="AC163" s="5"/>
      <c r="AD163" s="5"/>
      <c r="AE163" s="5"/>
      <c r="AF163" s="2"/>
    </row>
    <row r="164" spans="1:32" ht="9.7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T164" s="5"/>
      <c r="U164" s="5"/>
      <c r="V164" s="5"/>
      <c r="Y164" s="2"/>
      <c r="Z164" s="2"/>
      <c r="AA164" s="2"/>
      <c r="AB164" s="5"/>
      <c r="AC164" s="5"/>
      <c r="AD164" s="5"/>
      <c r="AE164" s="5"/>
      <c r="AF164" s="2"/>
    </row>
    <row r="165" spans="1:32" ht="9.7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T165" s="5"/>
      <c r="U165" s="5"/>
      <c r="V165" s="5"/>
      <c r="Y165" s="2"/>
      <c r="Z165" s="2"/>
      <c r="AA165" s="2"/>
      <c r="AB165" s="5"/>
      <c r="AC165" s="5"/>
      <c r="AD165" s="5"/>
      <c r="AE165" s="5"/>
      <c r="AF165" s="2"/>
    </row>
    <row r="166" spans="1:32" ht="9.7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T166" s="5"/>
      <c r="U166" s="5"/>
      <c r="V166" s="5"/>
      <c r="Y166" s="2"/>
      <c r="Z166" s="2"/>
      <c r="AA166" s="2"/>
      <c r="AB166" s="5"/>
      <c r="AC166" s="5"/>
      <c r="AD166" s="5"/>
      <c r="AE166" s="5"/>
      <c r="AF166" s="2"/>
    </row>
    <row r="167" spans="1:32" ht="9.7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T167" s="5"/>
      <c r="U167" s="5"/>
      <c r="V167" s="5"/>
      <c r="Y167" s="2"/>
      <c r="Z167" s="2"/>
      <c r="AA167" s="2"/>
      <c r="AB167" s="5"/>
      <c r="AC167" s="5"/>
      <c r="AD167" s="5"/>
      <c r="AE167" s="5"/>
      <c r="AF167" s="2"/>
    </row>
    <row r="168" spans="1:32" ht="9.7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T168" s="5"/>
      <c r="U168" s="5"/>
      <c r="V168" s="5"/>
      <c r="Y168" s="2"/>
      <c r="Z168" s="2"/>
      <c r="AA168" s="2"/>
      <c r="AB168" s="5"/>
      <c r="AC168" s="5"/>
      <c r="AD168" s="5"/>
      <c r="AE168" s="5"/>
      <c r="AF168" s="2"/>
    </row>
    <row r="169" spans="1:32" ht="9.7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T169" s="5"/>
      <c r="U169" s="5"/>
      <c r="V169" s="5"/>
      <c r="Y169" s="2"/>
      <c r="Z169" s="2"/>
      <c r="AA169" s="2"/>
      <c r="AB169" s="5"/>
      <c r="AC169" s="5"/>
      <c r="AD169" s="5"/>
      <c r="AE169" s="5"/>
      <c r="AF169" s="2"/>
    </row>
    <row r="170" spans="1:32" ht="9.7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T170" s="5"/>
      <c r="U170" s="5"/>
      <c r="V170" s="5"/>
      <c r="Y170" s="2"/>
      <c r="Z170" s="2"/>
      <c r="AA170" s="2"/>
      <c r="AB170" s="5"/>
      <c r="AC170" s="5"/>
      <c r="AD170" s="5"/>
      <c r="AE170" s="5"/>
      <c r="AF170" s="2"/>
    </row>
    <row r="171" spans="1:32" ht="9.7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T171" s="5"/>
      <c r="U171" s="5"/>
      <c r="V171" s="5"/>
      <c r="Y171" s="2"/>
      <c r="Z171" s="2"/>
      <c r="AA171" s="2"/>
      <c r="AB171" s="5"/>
      <c r="AC171" s="5"/>
      <c r="AD171" s="5"/>
      <c r="AE171" s="5"/>
      <c r="AF171" s="2"/>
    </row>
    <row r="172" spans="1:32" ht="9.7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T172" s="5"/>
      <c r="U172" s="5"/>
      <c r="V172" s="5"/>
      <c r="Y172" s="2"/>
      <c r="Z172" s="2"/>
      <c r="AA172" s="2"/>
      <c r="AB172" s="5"/>
      <c r="AC172" s="5"/>
      <c r="AD172" s="5"/>
      <c r="AE172" s="5"/>
      <c r="AF172" s="2"/>
    </row>
    <row r="173" spans="1:32" ht="9.7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T173" s="5"/>
      <c r="U173" s="5"/>
      <c r="V173" s="5"/>
      <c r="Y173" s="2"/>
      <c r="Z173" s="2"/>
      <c r="AA173" s="2"/>
      <c r="AB173" s="5"/>
      <c r="AC173" s="5"/>
      <c r="AD173" s="5"/>
      <c r="AE173" s="5"/>
      <c r="AF173" s="2"/>
    </row>
    <row r="174" spans="1:32" ht="9.7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T174" s="5"/>
      <c r="U174" s="5"/>
      <c r="V174" s="5"/>
      <c r="Y174" s="2"/>
      <c r="Z174" s="2"/>
      <c r="AA174" s="2"/>
      <c r="AB174" s="5"/>
      <c r="AC174" s="5"/>
      <c r="AD174" s="5"/>
      <c r="AE174" s="5"/>
      <c r="AF174" s="2"/>
    </row>
    <row r="175" spans="1:32" ht="9.7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T175" s="5"/>
      <c r="U175" s="5"/>
      <c r="V175" s="5"/>
      <c r="Y175" s="2"/>
      <c r="Z175" s="2"/>
      <c r="AA175" s="2"/>
      <c r="AB175" s="5"/>
      <c r="AC175" s="5"/>
      <c r="AD175" s="5"/>
      <c r="AE175" s="5"/>
      <c r="AF175" s="2"/>
    </row>
    <row r="176" spans="1:32" ht="9.7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T176" s="5"/>
      <c r="U176" s="5"/>
      <c r="V176" s="5"/>
      <c r="Y176" s="2"/>
      <c r="Z176" s="2"/>
      <c r="AA176" s="2"/>
      <c r="AB176" s="5"/>
      <c r="AC176" s="5"/>
      <c r="AD176" s="5"/>
      <c r="AE176" s="5"/>
      <c r="AF176" s="2"/>
    </row>
    <row r="177" spans="1:32" ht="9.7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T177" s="5"/>
      <c r="U177" s="5"/>
      <c r="V177" s="5"/>
      <c r="Y177" s="2"/>
      <c r="Z177" s="2"/>
      <c r="AA177" s="2"/>
      <c r="AB177" s="5"/>
      <c r="AC177" s="5"/>
      <c r="AD177" s="5"/>
      <c r="AE177" s="5"/>
      <c r="AF177" s="2"/>
    </row>
    <row r="178" spans="1:32" ht="9.7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T178" s="5"/>
      <c r="U178" s="5"/>
      <c r="V178" s="5"/>
      <c r="Y178" s="2"/>
      <c r="Z178" s="2"/>
      <c r="AA178" s="2"/>
      <c r="AB178" s="5"/>
      <c r="AC178" s="5"/>
      <c r="AD178" s="5"/>
      <c r="AE178" s="5"/>
      <c r="AF178" s="2"/>
    </row>
    <row r="179" spans="1:32" ht="9.7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T179" s="5"/>
      <c r="U179" s="5"/>
      <c r="V179" s="5"/>
      <c r="Y179" s="2"/>
      <c r="Z179" s="2"/>
      <c r="AA179" s="2"/>
      <c r="AB179" s="5"/>
      <c r="AC179" s="5"/>
      <c r="AD179" s="5"/>
      <c r="AE179" s="5"/>
      <c r="AF179" s="2"/>
    </row>
    <row r="180" spans="1:32" ht="9.7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T180" s="5"/>
      <c r="U180" s="5"/>
      <c r="V180" s="5"/>
      <c r="Y180" s="2"/>
      <c r="Z180" s="2"/>
      <c r="AA180" s="2"/>
      <c r="AB180" s="5"/>
      <c r="AC180" s="5"/>
      <c r="AD180" s="5"/>
      <c r="AE180" s="5"/>
      <c r="AF180" s="2"/>
    </row>
    <row r="181" spans="1:32" ht="9.7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T181" s="5"/>
      <c r="U181" s="5"/>
      <c r="V181" s="5"/>
      <c r="Y181" s="2"/>
      <c r="Z181" s="2"/>
      <c r="AA181" s="2"/>
      <c r="AB181" s="5"/>
      <c r="AC181" s="5"/>
      <c r="AD181" s="5"/>
      <c r="AE181" s="5"/>
      <c r="AF181" s="2"/>
    </row>
    <row r="182" spans="1:32" ht="9.7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T182" s="5"/>
      <c r="U182" s="5"/>
      <c r="V182" s="5"/>
      <c r="Y182" s="2"/>
      <c r="Z182" s="2"/>
      <c r="AA182" s="2"/>
      <c r="AB182" s="5"/>
      <c r="AC182" s="5"/>
      <c r="AD182" s="5"/>
      <c r="AE182" s="5"/>
      <c r="AF182" s="2"/>
    </row>
    <row r="183" spans="1:32" ht="9.7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T183" s="5"/>
      <c r="U183" s="5"/>
      <c r="V183" s="5"/>
      <c r="Y183" s="2"/>
      <c r="Z183" s="2"/>
      <c r="AA183" s="2"/>
      <c r="AB183" s="5"/>
      <c r="AC183" s="5"/>
      <c r="AD183" s="5"/>
      <c r="AE183" s="5"/>
      <c r="AF183" s="2"/>
    </row>
    <row r="184" spans="1:32" ht="9.7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T184" s="5"/>
      <c r="U184" s="5"/>
      <c r="V184" s="5"/>
      <c r="Y184" s="2"/>
      <c r="Z184" s="2"/>
      <c r="AA184" s="2"/>
      <c r="AB184" s="5"/>
      <c r="AC184" s="5"/>
      <c r="AD184" s="5"/>
      <c r="AE184" s="5"/>
      <c r="AF184" s="2"/>
    </row>
    <row r="185" spans="1:32" ht="9.7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T185" s="5"/>
      <c r="U185" s="5"/>
      <c r="V185" s="5"/>
      <c r="Y185" s="2"/>
      <c r="Z185" s="2"/>
      <c r="AA185" s="2"/>
      <c r="AB185" s="5"/>
      <c r="AC185" s="5"/>
      <c r="AD185" s="5"/>
      <c r="AE185" s="5"/>
      <c r="AF185" s="2"/>
    </row>
    <row r="186" spans="1:32" ht="9.7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T186" s="5"/>
      <c r="U186" s="5"/>
      <c r="V186" s="5"/>
      <c r="Y186" s="2"/>
      <c r="Z186" s="2"/>
      <c r="AA186" s="2"/>
      <c r="AB186" s="5"/>
      <c r="AC186" s="5"/>
      <c r="AD186" s="5"/>
      <c r="AE186" s="5"/>
      <c r="AF186" s="2"/>
    </row>
    <row r="187" spans="1:32" ht="9.7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T187" s="5"/>
      <c r="U187" s="5"/>
      <c r="V187" s="5"/>
      <c r="Y187" s="2"/>
      <c r="Z187" s="2"/>
      <c r="AA187" s="2"/>
      <c r="AB187" s="5"/>
      <c r="AC187" s="5"/>
      <c r="AD187" s="5"/>
      <c r="AE187" s="5"/>
      <c r="AF187" s="2"/>
    </row>
    <row r="188" spans="1:32" ht="9.7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T188" s="5"/>
      <c r="U188" s="5"/>
      <c r="V188" s="5"/>
      <c r="Y188" s="2"/>
      <c r="Z188" s="2"/>
      <c r="AA188" s="2"/>
      <c r="AB188" s="5"/>
      <c r="AC188" s="5"/>
      <c r="AD188" s="5"/>
      <c r="AE188" s="5"/>
      <c r="AF188" s="2"/>
    </row>
    <row r="189" spans="1:32" ht="9.7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T189" s="5"/>
      <c r="U189" s="5"/>
      <c r="V189" s="5"/>
      <c r="Y189" s="2"/>
      <c r="Z189" s="2"/>
      <c r="AA189" s="2"/>
      <c r="AB189" s="5"/>
      <c r="AC189" s="5"/>
      <c r="AD189" s="5"/>
      <c r="AE189" s="5"/>
      <c r="AF189" s="2"/>
    </row>
    <row r="190" spans="1:32" ht="9.7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T190" s="5"/>
      <c r="U190" s="5"/>
      <c r="V190" s="5"/>
      <c r="Y190" s="2"/>
      <c r="Z190" s="2"/>
      <c r="AA190" s="2"/>
      <c r="AB190" s="5"/>
      <c r="AC190" s="5"/>
      <c r="AD190" s="5"/>
      <c r="AE190" s="5"/>
      <c r="AF190" s="2"/>
    </row>
    <row r="191" spans="1:32" ht="9.7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T191" s="5"/>
      <c r="U191" s="5"/>
      <c r="V191" s="5"/>
      <c r="Y191" s="2"/>
      <c r="Z191" s="2"/>
      <c r="AA191" s="2"/>
      <c r="AB191" s="5"/>
      <c r="AC191" s="5"/>
      <c r="AD191" s="5"/>
      <c r="AE191" s="5"/>
      <c r="AF191" s="2"/>
    </row>
    <row r="192" spans="1:32" ht="9.7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T192" s="5"/>
      <c r="U192" s="5"/>
      <c r="V192" s="5"/>
      <c r="Y192" s="2"/>
      <c r="Z192" s="2"/>
      <c r="AA192" s="2"/>
      <c r="AB192" s="5"/>
      <c r="AC192" s="5"/>
      <c r="AD192" s="5"/>
      <c r="AE192" s="5"/>
      <c r="AF192" s="2"/>
    </row>
    <row r="193" spans="1:32" ht="9.7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T193" s="5"/>
      <c r="U193" s="5"/>
      <c r="V193" s="5"/>
      <c r="Y193" s="2"/>
      <c r="Z193" s="2"/>
      <c r="AA193" s="2"/>
      <c r="AB193" s="5"/>
      <c r="AC193" s="5"/>
      <c r="AD193" s="5"/>
      <c r="AE193" s="5"/>
      <c r="AF193" s="2"/>
    </row>
    <row r="194" spans="1:32" ht="9.7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T194" s="5"/>
      <c r="U194" s="5"/>
      <c r="V194" s="5"/>
      <c r="Y194" s="2"/>
      <c r="Z194" s="2"/>
      <c r="AA194" s="2"/>
      <c r="AB194" s="5"/>
      <c r="AC194" s="5"/>
      <c r="AD194" s="5"/>
      <c r="AE194" s="5"/>
      <c r="AF194" s="2"/>
    </row>
    <row r="195" spans="1:32" ht="9.7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T195" s="5"/>
      <c r="U195" s="5"/>
      <c r="V195" s="5"/>
      <c r="Y195" s="2"/>
      <c r="Z195" s="2"/>
      <c r="AA195" s="2"/>
      <c r="AB195" s="5"/>
      <c r="AC195" s="5"/>
      <c r="AD195" s="5"/>
      <c r="AE195" s="5"/>
      <c r="AF195" s="2"/>
    </row>
    <row r="196" spans="1:32" ht="9.7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T196" s="5"/>
      <c r="U196" s="5"/>
      <c r="V196" s="5"/>
      <c r="Y196" s="2"/>
      <c r="Z196" s="2"/>
      <c r="AA196" s="2"/>
      <c r="AB196" s="5"/>
      <c r="AC196" s="5"/>
      <c r="AD196" s="5"/>
      <c r="AE196" s="5"/>
      <c r="AF196" s="2"/>
    </row>
    <row r="197" spans="1:32" ht="9.7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T197" s="5"/>
      <c r="U197" s="5"/>
      <c r="V197" s="5"/>
      <c r="Y197" s="2"/>
      <c r="Z197" s="2"/>
      <c r="AA197" s="2"/>
      <c r="AB197" s="5"/>
      <c r="AC197" s="5"/>
      <c r="AD197" s="5"/>
      <c r="AE197" s="5"/>
      <c r="AF197" s="2"/>
    </row>
    <row r="198" spans="1:32" ht="9.7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T198" s="5"/>
      <c r="U198" s="5"/>
      <c r="V198" s="5"/>
      <c r="Y198" s="2"/>
      <c r="Z198" s="2"/>
      <c r="AA198" s="2"/>
      <c r="AB198" s="5"/>
      <c r="AC198" s="5"/>
      <c r="AD198" s="5"/>
      <c r="AE198" s="5"/>
      <c r="AF198" s="2"/>
    </row>
    <row r="199" spans="1:32" ht="9.7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T199" s="5"/>
      <c r="U199" s="5"/>
      <c r="V199" s="5"/>
      <c r="Y199" s="2"/>
      <c r="Z199" s="2"/>
      <c r="AA199" s="2"/>
      <c r="AB199" s="5"/>
      <c r="AC199" s="5"/>
      <c r="AD199" s="5"/>
      <c r="AE199" s="5"/>
      <c r="AF199" s="2"/>
    </row>
    <row r="200" spans="1:32" ht="9.7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T200" s="5"/>
      <c r="U200" s="5"/>
      <c r="V200" s="5"/>
      <c r="Y200" s="2"/>
      <c r="Z200" s="2"/>
      <c r="AA200" s="2"/>
      <c r="AB200" s="5"/>
      <c r="AC200" s="5"/>
      <c r="AD200" s="5"/>
      <c r="AE200" s="5"/>
      <c r="AF200" s="2"/>
    </row>
    <row r="201" spans="1:32" ht="9.7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T201" s="5"/>
      <c r="U201" s="5"/>
      <c r="V201" s="5"/>
      <c r="Y201" s="2"/>
      <c r="Z201" s="2"/>
      <c r="AA201" s="2"/>
      <c r="AB201" s="5"/>
      <c r="AC201" s="5"/>
      <c r="AD201" s="5"/>
      <c r="AE201" s="5"/>
      <c r="AF201" s="2"/>
    </row>
    <row r="202" spans="1:32" ht="9.7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T202" s="5"/>
      <c r="U202" s="5"/>
      <c r="V202" s="5"/>
      <c r="Y202" s="2"/>
      <c r="Z202" s="2"/>
      <c r="AA202" s="2"/>
      <c r="AB202" s="5"/>
      <c r="AC202" s="5"/>
      <c r="AD202" s="5"/>
      <c r="AE202" s="5"/>
      <c r="AF202" s="2"/>
    </row>
    <row r="203" spans="1:32" ht="9.75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T203" s="5"/>
      <c r="U203" s="5"/>
      <c r="V203" s="5"/>
      <c r="Y203" s="2"/>
      <c r="Z203" s="2"/>
      <c r="AA203" s="2"/>
      <c r="AB203" s="5"/>
      <c r="AC203" s="5"/>
      <c r="AD203" s="5"/>
      <c r="AE203" s="5"/>
      <c r="AF203" s="2"/>
    </row>
    <row r="204" spans="1:32" ht="9.75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T204" s="5"/>
      <c r="U204" s="5"/>
      <c r="V204" s="5"/>
      <c r="Y204" s="2"/>
      <c r="Z204" s="2"/>
      <c r="AA204" s="2"/>
      <c r="AB204" s="5"/>
      <c r="AC204" s="5"/>
      <c r="AD204" s="5"/>
      <c r="AE204" s="5"/>
      <c r="AF204" s="2"/>
    </row>
    <row r="205" spans="1:32" ht="9.75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T205" s="5"/>
      <c r="U205" s="5"/>
      <c r="V205" s="5"/>
      <c r="Y205" s="2"/>
      <c r="Z205" s="2"/>
      <c r="AA205" s="2"/>
      <c r="AB205" s="5"/>
      <c r="AC205" s="5"/>
      <c r="AD205" s="5"/>
      <c r="AE205" s="5"/>
      <c r="AF205" s="2"/>
    </row>
    <row r="206" spans="1:32" ht="9.75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T206" s="5"/>
      <c r="U206" s="5"/>
      <c r="V206" s="5"/>
      <c r="Y206" s="2"/>
      <c r="Z206" s="2"/>
      <c r="AA206" s="2"/>
      <c r="AB206" s="5"/>
      <c r="AC206" s="5"/>
      <c r="AD206" s="5"/>
      <c r="AE206" s="5"/>
      <c r="AF206" s="2"/>
    </row>
    <row r="207" spans="1:32" ht="9.75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T207" s="5"/>
      <c r="U207" s="5"/>
      <c r="V207" s="5"/>
      <c r="Y207" s="2"/>
      <c r="Z207" s="2"/>
      <c r="AA207" s="2"/>
      <c r="AB207" s="5"/>
      <c r="AC207" s="5"/>
      <c r="AD207" s="5"/>
      <c r="AE207" s="5"/>
      <c r="AF207" s="2"/>
    </row>
    <row r="208" spans="1:32" ht="9.75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T208" s="5"/>
      <c r="U208" s="5"/>
      <c r="V208" s="5"/>
      <c r="Y208" s="2"/>
      <c r="Z208" s="2"/>
      <c r="AA208" s="2"/>
      <c r="AB208" s="5"/>
      <c r="AC208" s="5"/>
      <c r="AD208" s="5"/>
      <c r="AE208" s="5"/>
      <c r="AF208" s="2"/>
    </row>
    <row r="209" spans="1:32" ht="9.75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T209" s="5"/>
      <c r="U209" s="5"/>
      <c r="V209" s="5"/>
      <c r="Y209" s="2"/>
      <c r="Z209" s="2"/>
      <c r="AA209" s="2"/>
      <c r="AB209" s="5"/>
      <c r="AC209" s="5"/>
      <c r="AD209" s="5"/>
      <c r="AE209" s="5"/>
      <c r="AF209" s="2"/>
    </row>
    <row r="210" spans="1:32" ht="9.75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T210" s="5"/>
      <c r="U210" s="5"/>
      <c r="V210" s="5"/>
      <c r="Y210" s="2"/>
      <c r="Z210" s="2"/>
      <c r="AA210" s="2"/>
      <c r="AB210" s="5"/>
      <c r="AC210" s="5"/>
      <c r="AD210" s="5"/>
      <c r="AE210" s="5"/>
      <c r="AF210" s="2"/>
    </row>
    <row r="211" spans="1:32" ht="9.75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T211" s="5"/>
      <c r="U211" s="5"/>
      <c r="V211" s="5"/>
      <c r="Y211" s="2"/>
      <c r="Z211" s="2"/>
      <c r="AA211" s="2"/>
      <c r="AB211" s="5"/>
      <c r="AC211" s="5"/>
      <c r="AD211" s="5"/>
      <c r="AE211" s="5"/>
      <c r="AF211" s="2"/>
    </row>
    <row r="212" spans="1:32" ht="9.75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T212" s="5"/>
      <c r="U212" s="5"/>
      <c r="V212" s="5"/>
      <c r="Y212" s="2"/>
      <c r="Z212" s="2"/>
      <c r="AA212" s="2"/>
      <c r="AB212" s="5"/>
      <c r="AC212" s="5"/>
      <c r="AD212" s="5"/>
      <c r="AE212" s="5"/>
      <c r="AF212" s="2"/>
    </row>
    <row r="213" spans="1:32" ht="9.7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T213" s="5"/>
      <c r="U213" s="5"/>
      <c r="V213" s="5"/>
      <c r="Y213" s="2"/>
      <c r="Z213" s="2"/>
      <c r="AA213" s="2"/>
      <c r="AB213" s="5"/>
      <c r="AC213" s="5"/>
      <c r="AD213" s="5"/>
      <c r="AE213" s="5"/>
      <c r="AF213" s="2"/>
    </row>
    <row r="214" spans="1:32" ht="9.75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T214" s="5"/>
      <c r="U214" s="5"/>
      <c r="V214" s="5"/>
      <c r="Y214" s="2"/>
      <c r="Z214" s="2"/>
      <c r="AA214" s="2"/>
      <c r="AB214" s="5"/>
      <c r="AC214" s="5"/>
      <c r="AD214" s="5"/>
      <c r="AE214" s="5"/>
      <c r="AF214" s="2"/>
    </row>
    <row r="215" spans="25:32" ht="9.75" customHeight="1">
      <c r="Y215" s="2"/>
      <c r="Z215" s="2"/>
      <c r="AA215" s="2"/>
      <c r="AF215" s="2"/>
    </row>
    <row r="216" spans="25:32" ht="9.75" customHeight="1">
      <c r="Y216" s="2"/>
      <c r="Z216" s="2"/>
      <c r="AA216" s="2"/>
      <c r="AF216" s="2"/>
    </row>
    <row r="217" spans="25:32" ht="9.75" customHeight="1">
      <c r="Y217" s="2"/>
      <c r="Z217" s="2"/>
      <c r="AA217" s="2"/>
      <c r="AF217" s="2"/>
    </row>
    <row r="218" spans="25:32" ht="9.75" customHeight="1">
      <c r="Y218" s="2"/>
      <c r="Z218" s="2"/>
      <c r="AA218" s="2"/>
      <c r="AF218" s="2"/>
    </row>
    <row r="219" spans="25:32" ht="9.75" customHeight="1">
      <c r="Y219" s="2"/>
      <c r="Z219" s="2"/>
      <c r="AA219" s="2"/>
      <c r="AF219" s="2"/>
    </row>
    <row r="220" spans="25:32" ht="9.75" customHeight="1">
      <c r="Y220" s="2"/>
      <c r="Z220" s="2"/>
      <c r="AA220" s="2"/>
      <c r="AF220" s="2"/>
    </row>
    <row r="221" spans="25:32" ht="9.75" customHeight="1">
      <c r="Y221" s="2"/>
      <c r="Z221" s="2"/>
      <c r="AA221" s="2"/>
      <c r="AF221" s="2"/>
    </row>
  </sheetData>
  <mergeCells count="10">
    <mergeCell ref="C73:D73"/>
    <mergeCell ref="C83:D83"/>
    <mergeCell ref="C92:D92"/>
    <mergeCell ref="C101:D101"/>
    <mergeCell ref="I65:J65"/>
    <mergeCell ref="C13:D13"/>
    <mergeCell ref="C61:D61"/>
    <mergeCell ref="C25:D25"/>
    <mergeCell ref="C37:D37"/>
    <mergeCell ref="C49:D49"/>
  </mergeCells>
  <printOptions/>
  <pageMargins left="0.3937007874015748" right="0.3937007874015748" top="0.5905511811023623" bottom="0.5905511811023623" header="0.31496062992125984" footer="0.31496062992125984"/>
  <pageSetup horizontalDpi="300" verticalDpi="300" orientation="landscape" paperSize="9" scale="74" r:id="rId4"/>
  <headerFooter alignWithMargins="0">
    <oddHeader>&amp;LKitenge Somwé&amp;C&amp;A&amp;R&amp;D</oddHeader>
    <oddFooter>&amp;C&amp;F</oddFooter>
  </headerFooter>
  <drawing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 codeName="Feuil16"/>
  <dimension ref="A1:M117"/>
  <sheetViews>
    <sheetView tabSelected="1" workbookViewId="0" topLeftCell="A1">
      <selection activeCell="B1" sqref="B1"/>
    </sheetView>
  </sheetViews>
  <sheetFormatPr defaultColWidth="11.421875" defaultRowHeight="9.75" customHeight="1"/>
  <cols>
    <col min="1" max="1" width="11.421875" style="2" customWidth="1"/>
    <col min="2" max="2" width="19.140625" style="2" customWidth="1"/>
    <col min="3" max="3" width="11.421875" style="2" customWidth="1"/>
    <col min="4" max="4" width="17.7109375" style="2" customWidth="1"/>
    <col min="5" max="6" width="11.421875" style="2" customWidth="1"/>
    <col min="7" max="7" width="7.421875" style="2" customWidth="1"/>
    <col min="8" max="8" width="8.28125" style="2" customWidth="1"/>
    <col min="9" max="10" width="11.421875" style="2" customWidth="1"/>
    <col min="11" max="11" width="13.28125" style="2" customWidth="1"/>
    <col min="12" max="12" width="12.28125" style="2" customWidth="1"/>
    <col min="13" max="13" width="11.421875" style="2" customWidth="1"/>
  </cols>
  <sheetData>
    <row r="1" spans="1:13" ht="9.75" customHeight="1">
      <c r="A1" s="450" t="s">
        <v>574</v>
      </c>
      <c r="B1" s="451" t="s">
        <v>575</v>
      </c>
      <c r="C1" s="1" t="s">
        <v>576</v>
      </c>
      <c r="D1" s="450" t="s">
        <v>577</v>
      </c>
      <c r="E1" s="1" t="s">
        <v>578</v>
      </c>
      <c r="F1" s="116" t="s">
        <v>579</v>
      </c>
      <c r="G1" s="1" t="s">
        <v>580</v>
      </c>
      <c r="H1" s="1" t="s">
        <v>581</v>
      </c>
      <c r="I1" s="1" t="s">
        <v>582</v>
      </c>
      <c r="J1" s="1" t="s">
        <v>583</v>
      </c>
      <c r="K1" s="1" t="s">
        <v>584</v>
      </c>
      <c r="L1" s="548" t="s">
        <v>1119</v>
      </c>
      <c r="M1" s="548"/>
    </row>
    <row r="2" spans="1:6" ht="9.75" customHeight="1">
      <c r="A2" s="2"/>
      <c r="B2" s="2" t="s">
        <v>585</v>
      </c>
      <c r="C2" s="452"/>
      <c r="D2" s="2" t="s">
        <v>586</v>
      </c>
      <c r="E2" s="2" t="s">
        <v>587</v>
      </c>
      <c r="F2" s="2">
        <v>1350</v>
      </c>
    </row>
    <row r="3" spans="1:9" ht="9.75" customHeight="1">
      <c r="A3" s="2">
        <v>21750006</v>
      </c>
      <c r="B3" s="2" t="s">
        <v>588</v>
      </c>
      <c r="C3" s="2" t="s">
        <v>589</v>
      </c>
      <c r="D3" s="453" t="s">
        <v>590</v>
      </c>
      <c r="E3" s="2" t="s">
        <v>591</v>
      </c>
      <c r="F3" s="2">
        <v>1782</v>
      </c>
      <c r="I3" s="2" t="s">
        <v>592</v>
      </c>
    </row>
    <row r="4" spans="1:9" ht="9.75" customHeight="1">
      <c r="A4" s="454" t="s">
        <v>593</v>
      </c>
      <c r="B4" s="2" t="s">
        <v>594</v>
      </c>
      <c r="C4" s="2" t="s">
        <v>595</v>
      </c>
      <c r="D4" s="2" t="s">
        <v>596</v>
      </c>
      <c r="E4" s="2" t="s">
        <v>597</v>
      </c>
      <c r="F4" s="2">
        <v>8912</v>
      </c>
      <c r="I4" s="2" t="s">
        <v>598</v>
      </c>
    </row>
    <row r="5" spans="1:6" ht="9.75" customHeight="1">
      <c r="A5" s="2">
        <v>999999909</v>
      </c>
      <c r="B5" s="2" t="s">
        <v>599</v>
      </c>
      <c r="C5" s="2"/>
      <c r="D5" s="2" t="s">
        <v>600</v>
      </c>
      <c r="E5" s="2" t="s">
        <v>601</v>
      </c>
      <c r="F5" s="2">
        <v>1020</v>
      </c>
    </row>
    <row r="6" spans="1:9" ht="9.75" customHeight="1">
      <c r="A6" s="2">
        <v>56420014</v>
      </c>
      <c r="B6" s="2" t="s">
        <v>394</v>
      </c>
      <c r="C6" s="2" t="s">
        <v>602</v>
      </c>
      <c r="D6" s="2" t="s">
        <v>603</v>
      </c>
      <c r="E6" s="2" t="s">
        <v>604</v>
      </c>
      <c r="F6" s="2">
        <v>1110</v>
      </c>
      <c r="I6" s="2" t="s">
        <v>605</v>
      </c>
    </row>
    <row r="7" spans="1:11" ht="9.75" customHeight="1">
      <c r="A7" s="2">
        <v>7690020</v>
      </c>
      <c r="B7" s="2" t="s">
        <v>606</v>
      </c>
      <c r="C7" s="452"/>
      <c r="D7" s="2" t="s">
        <v>607</v>
      </c>
      <c r="E7" s="2" t="s">
        <v>608</v>
      </c>
      <c r="F7" s="2">
        <v>3752</v>
      </c>
      <c r="G7" s="2" t="s">
        <v>888</v>
      </c>
      <c r="H7" s="2" t="s">
        <v>157</v>
      </c>
      <c r="K7" s="5" t="s">
        <v>609</v>
      </c>
    </row>
    <row r="8" spans="1:9" ht="9.75" customHeight="1">
      <c r="A8" s="2"/>
      <c r="B8" s="2" t="s">
        <v>610</v>
      </c>
      <c r="C8" s="452"/>
      <c r="D8" s="455"/>
      <c r="E8" s="2" t="s">
        <v>611</v>
      </c>
      <c r="F8" s="2">
        <v>1967</v>
      </c>
      <c r="G8" s="2" t="s">
        <v>612</v>
      </c>
      <c r="H8" s="2" t="s">
        <v>157</v>
      </c>
      <c r="I8" s="2" t="s">
        <v>613</v>
      </c>
    </row>
    <row r="9" spans="1:9" ht="9.75" customHeight="1">
      <c r="A9" s="2">
        <v>65860118</v>
      </c>
      <c r="B9" s="2" t="s">
        <v>614</v>
      </c>
      <c r="C9" s="453" t="s">
        <v>615</v>
      </c>
      <c r="D9" s="2" t="s">
        <v>616</v>
      </c>
      <c r="E9" s="2" t="s">
        <v>617</v>
      </c>
      <c r="F9" s="2">
        <v>1001</v>
      </c>
      <c r="I9" s="2" t="s">
        <v>618</v>
      </c>
    </row>
    <row r="10" spans="1:6" ht="9.75" customHeight="1">
      <c r="A10" s="2">
        <v>9999999111</v>
      </c>
      <c r="B10" s="2" t="s">
        <v>619</v>
      </c>
      <c r="C10" s="2"/>
      <c r="D10" s="2" t="s">
        <v>620</v>
      </c>
      <c r="E10" s="2" t="s">
        <v>617</v>
      </c>
      <c r="F10" s="2">
        <v>1000</v>
      </c>
    </row>
    <row r="11" spans="1:9" ht="9.75" customHeight="1">
      <c r="A11" s="2">
        <v>9999999233</v>
      </c>
      <c r="B11" s="453" t="s">
        <v>621</v>
      </c>
      <c r="C11" s="2"/>
      <c r="D11" s="2" t="s">
        <v>622</v>
      </c>
      <c r="E11" s="2" t="s">
        <v>623</v>
      </c>
      <c r="F11" s="2">
        <v>1305</v>
      </c>
      <c r="I11" s="2" t="s">
        <v>624</v>
      </c>
    </row>
    <row r="12" spans="1:6" ht="9.75" customHeight="1">
      <c r="A12" s="2">
        <v>55830014</v>
      </c>
      <c r="B12" s="2" t="s">
        <v>625</v>
      </c>
      <c r="C12" s="2"/>
      <c r="D12" s="453" t="s">
        <v>626</v>
      </c>
      <c r="E12" s="2" t="s">
        <v>627</v>
      </c>
      <c r="F12" s="2">
        <v>1023</v>
      </c>
    </row>
    <row r="13" spans="1:13" ht="9.75" customHeight="1">
      <c r="A13" s="2">
        <v>66300002</v>
      </c>
      <c r="B13" s="2" t="s">
        <v>628</v>
      </c>
      <c r="C13" s="2" t="s">
        <v>629</v>
      </c>
      <c r="D13" s="2" t="s">
        <v>630</v>
      </c>
      <c r="E13" s="2" t="s">
        <v>631</v>
      </c>
      <c r="F13" s="2">
        <v>1211</v>
      </c>
      <c r="I13" s="2" t="s">
        <v>632</v>
      </c>
      <c r="L13" s="2">
        <v>95</v>
      </c>
      <c r="M13" s="2"/>
    </row>
    <row r="14" spans="1:6" ht="9.75" customHeight="1">
      <c r="A14" s="2">
        <v>21960058</v>
      </c>
      <c r="B14" s="2" t="s">
        <v>633</v>
      </c>
      <c r="C14" s="2"/>
      <c r="D14" s="453" t="s">
        <v>634</v>
      </c>
      <c r="E14" s="2" t="s">
        <v>635</v>
      </c>
      <c r="F14" s="2">
        <v>1701</v>
      </c>
    </row>
    <row r="15" spans="1:8" ht="9.75" customHeight="1">
      <c r="A15" s="2">
        <v>999999222</v>
      </c>
      <c r="B15" s="2" t="s">
        <v>636</v>
      </c>
      <c r="C15" s="452"/>
      <c r="E15" s="2" t="s">
        <v>637</v>
      </c>
      <c r="F15" s="2"/>
      <c r="G15" s="2" t="s">
        <v>638</v>
      </c>
      <c r="H15" s="2" t="s">
        <v>157</v>
      </c>
    </row>
    <row r="16" spans="1:11" ht="9.75" customHeight="1">
      <c r="A16" s="2">
        <v>40420001</v>
      </c>
      <c r="B16" s="2" t="s">
        <v>639</v>
      </c>
      <c r="C16" s="452"/>
      <c r="D16" s="2" t="s">
        <v>640</v>
      </c>
      <c r="E16" s="2" t="s">
        <v>641</v>
      </c>
      <c r="F16" s="2">
        <v>5300</v>
      </c>
      <c r="G16" s="2"/>
      <c r="H16" s="2" t="s">
        <v>157</v>
      </c>
      <c r="K16" s="5" t="s">
        <v>639</v>
      </c>
    </row>
    <row r="17" spans="1:9" ht="9.75" customHeight="1">
      <c r="A17" s="2">
        <v>61530108</v>
      </c>
      <c r="B17" s="2" t="s">
        <v>642</v>
      </c>
      <c r="C17" s="2" t="s">
        <v>643</v>
      </c>
      <c r="D17" s="2"/>
      <c r="E17" s="2" t="s">
        <v>644</v>
      </c>
      <c r="F17" s="2">
        <v>1870</v>
      </c>
      <c r="I17" s="2" t="s">
        <v>645</v>
      </c>
    </row>
    <row r="18" spans="1:6" ht="9.75" customHeight="1">
      <c r="A18" s="2">
        <v>61520025</v>
      </c>
      <c r="B18" s="2" t="s">
        <v>646</v>
      </c>
      <c r="E18" s="2" t="s">
        <v>647</v>
      </c>
      <c r="F18" s="2">
        <v>1868</v>
      </c>
    </row>
    <row r="19" spans="1:11" ht="9.75" customHeight="1">
      <c r="A19" s="2">
        <v>66300022</v>
      </c>
      <c r="B19" s="2" t="s">
        <v>1113</v>
      </c>
      <c r="C19" s="452"/>
      <c r="G19" s="2" t="s">
        <v>638</v>
      </c>
      <c r="H19" s="2" t="s">
        <v>157</v>
      </c>
      <c r="K19" s="5"/>
    </row>
    <row r="20" spans="1:6" ht="9.75" customHeight="1">
      <c r="A20" s="2">
        <v>55910049</v>
      </c>
      <c r="B20" s="2" t="s">
        <v>648</v>
      </c>
      <c r="C20" s="2"/>
      <c r="D20" s="2" t="s">
        <v>649</v>
      </c>
      <c r="E20" s="2" t="s">
        <v>601</v>
      </c>
      <c r="F20" s="2">
        <v>1020</v>
      </c>
    </row>
    <row r="21" spans="1:9" ht="9.75" customHeight="1">
      <c r="A21" s="2">
        <v>62610259</v>
      </c>
      <c r="B21" s="2" t="s">
        <v>650</v>
      </c>
      <c r="C21" s="2"/>
      <c r="D21" s="2" t="s">
        <v>651</v>
      </c>
      <c r="E21" s="2" t="s">
        <v>652</v>
      </c>
      <c r="F21" s="2">
        <v>1950</v>
      </c>
      <c r="I21" s="2" t="s">
        <v>653</v>
      </c>
    </row>
    <row r="22" spans="1:9" ht="9.75" customHeight="1">
      <c r="A22" s="2">
        <v>62660043</v>
      </c>
      <c r="B22" s="452" t="s">
        <v>654</v>
      </c>
      <c r="E22" s="453" t="s">
        <v>655</v>
      </c>
      <c r="F22" s="2">
        <v>1958</v>
      </c>
      <c r="I22" s="2" t="s">
        <v>656</v>
      </c>
    </row>
    <row r="23" spans="1:11" ht="9.75" customHeight="1">
      <c r="A23" s="2">
        <v>999999999</v>
      </c>
      <c r="B23" s="2" t="s">
        <v>1127</v>
      </c>
      <c r="C23" s="452"/>
      <c r="E23" s="2" t="s">
        <v>729</v>
      </c>
      <c r="F23" s="2">
        <v>1030</v>
      </c>
      <c r="G23" s="2" t="s">
        <v>807</v>
      </c>
      <c r="H23" s="2" t="s">
        <v>157</v>
      </c>
      <c r="K23" s="5"/>
    </row>
    <row r="24" spans="1:9" ht="9.75" customHeight="1">
      <c r="A24" s="2">
        <v>22220001</v>
      </c>
      <c r="B24" s="2" t="s">
        <v>657</v>
      </c>
      <c r="C24" s="2" t="s">
        <v>658</v>
      </c>
      <c r="D24" s="2" t="s">
        <v>659</v>
      </c>
      <c r="E24" s="2" t="s">
        <v>660</v>
      </c>
      <c r="F24" s="2">
        <v>1728</v>
      </c>
      <c r="I24" s="2" t="s">
        <v>661</v>
      </c>
    </row>
    <row r="25" spans="1:6" ht="9.75" customHeight="1">
      <c r="A25" s="2">
        <v>25860001</v>
      </c>
      <c r="B25" s="2" t="s">
        <v>662</v>
      </c>
      <c r="C25" s="2" t="s">
        <v>663</v>
      </c>
      <c r="D25" s="2" t="s">
        <v>664</v>
      </c>
      <c r="E25" s="2" t="s">
        <v>665</v>
      </c>
      <c r="F25" s="2">
        <v>4612</v>
      </c>
    </row>
    <row r="26" spans="1:9" ht="9.75" customHeight="1">
      <c r="A26" s="2">
        <v>20060001</v>
      </c>
      <c r="B26" s="2" t="s">
        <v>666</v>
      </c>
      <c r="C26" s="2" t="s">
        <v>667</v>
      </c>
      <c r="D26" s="453" t="s">
        <v>668</v>
      </c>
      <c r="E26" s="2" t="s">
        <v>669</v>
      </c>
      <c r="F26" s="2">
        <v>1723</v>
      </c>
      <c r="I26" s="2" t="s">
        <v>670</v>
      </c>
    </row>
    <row r="27" spans="1:9" ht="9.75" customHeight="1">
      <c r="A27" s="2">
        <v>54820001</v>
      </c>
      <c r="B27" s="2" t="s">
        <v>671</v>
      </c>
      <c r="C27" s="2"/>
      <c r="D27" s="2" t="s">
        <v>672</v>
      </c>
      <c r="E27" s="2" t="s">
        <v>673</v>
      </c>
      <c r="F27" s="2">
        <v>1312</v>
      </c>
      <c r="I27" s="2" t="s">
        <v>674</v>
      </c>
    </row>
    <row r="28" spans="1:9" ht="9.75" customHeight="1">
      <c r="A28" s="2">
        <v>55860080</v>
      </c>
      <c r="B28" s="2" t="s">
        <v>675</v>
      </c>
      <c r="C28" s="2" t="s">
        <v>676</v>
      </c>
      <c r="D28" s="2" t="s">
        <v>677</v>
      </c>
      <c r="E28" s="2" t="s">
        <v>617</v>
      </c>
      <c r="F28" s="2">
        <v>1005</v>
      </c>
      <c r="I28" s="2" t="s">
        <v>678</v>
      </c>
    </row>
    <row r="29" spans="1:9" ht="9.75" customHeight="1">
      <c r="A29" s="2">
        <v>66010002</v>
      </c>
      <c r="B29" s="2" t="s">
        <v>679</v>
      </c>
      <c r="C29" s="2" t="s">
        <v>680</v>
      </c>
      <c r="D29" s="2" t="s">
        <v>681</v>
      </c>
      <c r="E29" s="2" t="s">
        <v>682</v>
      </c>
      <c r="F29" s="2">
        <v>1211</v>
      </c>
      <c r="I29" s="2" t="s">
        <v>683</v>
      </c>
    </row>
    <row r="30" spans="1:12" ht="9.75" customHeight="1">
      <c r="A30" s="2"/>
      <c r="B30" s="2" t="s">
        <v>1129</v>
      </c>
      <c r="C30" s="452"/>
      <c r="D30" s="2" t="s">
        <v>1130</v>
      </c>
      <c r="E30" s="2" t="s">
        <v>1131</v>
      </c>
      <c r="F30" s="2">
        <v>13240</v>
      </c>
      <c r="G30" s="2"/>
      <c r="H30" s="2" t="s">
        <v>316</v>
      </c>
      <c r="K30" s="5"/>
      <c r="L30" s="2" t="s">
        <v>1132</v>
      </c>
    </row>
    <row r="31" spans="1:9" ht="9.75" customHeight="1">
      <c r="A31" s="2">
        <v>55860236</v>
      </c>
      <c r="B31" s="2" t="s">
        <v>684</v>
      </c>
      <c r="C31" s="2"/>
      <c r="D31" s="2" t="s">
        <v>685</v>
      </c>
      <c r="E31" s="2" t="s">
        <v>617</v>
      </c>
      <c r="F31" s="2">
        <v>1018</v>
      </c>
      <c r="I31" s="2" t="s">
        <v>686</v>
      </c>
    </row>
    <row r="32" spans="1:9" ht="9.75" customHeight="1">
      <c r="A32" s="2">
        <v>54510002</v>
      </c>
      <c r="B32" s="2" t="s">
        <v>687</v>
      </c>
      <c r="C32" s="2" t="s">
        <v>688</v>
      </c>
      <c r="D32" s="2"/>
      <c r="E32" s="2" t="s">
        <v>689</v>
      </c>
      <c r="F32" s="2">
        <v>1580</v>
      </c>
      <c r="I32" s="2" t="s">
        <v>690</v>
      </c>
    </row>
    <row r="33" spans="1:9" ht="9.75" customHeight="1">
      <c r="A33" s="2">
        <v>67110081</v>
      </c>
      <c r="B33" s="2" t="s">
        <v>691</v>
      </c>
      <c r="C33" s="2" t="s">
        <v>692</v>
      </c>
      <c r="D33" s="2" t="s">
        <v>693</v>
      </c>
      <c r="E33" s="2" t="s">
        <v>694</v>
      </c>
      <c r="F33" s="2">
        <v>2800</v>
      </c>
      <c r="I33" s="2" t="s">
        <v>695</v>
      </c>
    </row>
    <row r="34" spans="1:6" ht="9.75" customHeight="1">
      <c r="A34" s="2">
        <v>61360102</v>
      </c>
      <c r="B34" s="2" t="s">
        <v>696</v>
      </c>
      <c r="C34" s="2"/>
      <c r="D34" s="2" t="s">
        <v>697</v>
      </c>
      <c r="E34" s="2" t="s">
        <v>698</v>
      </c>
      <c r="F34" s="2">
        <v>1920</v>
      </c>
    </row>
    <row r="35" spans="1:9" ht="9.75" customHeight="1">
      <c r="A35" s="2">
        <v>66200001</v>
      </c>
      <c r="B35" s="2" t="s">
        <v>699</v>
      </c>
      <c r="C35" s="2"/>
      <c r="D35" s="452" t="s">
        <v>700</v>
      </c>
      <c r="E35" s="2" t="s">
        <v>701</v>
      </c>
      <c r="F35" s="2">
        <v>1283</v>
      </c>
      <c r="I35" s="2" t="s">
        <v>702</v>
      </c>
    </row>
    <row r="36" spans="1:13" ht="9.75" customHeight="1">
      <c r="A36" s="2">
        <v>9999999333</v>
      </c>
      <c r="B36" s="453" t="s">
        <v>703</v>
      </c>
      <c r="C36" s="453" t="s">
        <v>704</v>
      </c>
      <c r="D36" s="2" t="s">
        <v>705</v>
      </c>
      <c r="E36" s="2" t="s">
        <v>706</v>
      </c>
      <c r="F36" s="2">
        <v>6002</v>
      </c>
      <c r="I36" s="2" t="s">
        <v>707</v>
      </c>
      <c r="M36" s="5"/>
    </row>
    <row r="37" spans="1:6" ht="9.75" customHeight="1">
      <c r="A37" s="2">
        <v>9999999444</v>
      </c>
      <c r="B37" s="2" t="s">
        <v>708</v>
      </c>
      <c r="E37" s="2" t="s">
        <v>604</v>
      </c>
      <c r="F37" s="2">
        <v>1110</v>
      </c>
    </row>
    <row r="38" spans="1:13" ht="9.75" customHeight="1">
      <c r="A38" s="2"/>
      <c r="B38" s="2" t="s">
        <v>1211</v>
      </c>
      <c r="C38" s="452"/>
      <c r="D38" s="2" t="s">
        <v>1212</v>
      </c>
      <c r="E38" s="2" t="s">
        <v>617</v>
      </c>
      <c r="F38" s="2">
        <v>1000</v>
      </c>
      <c r="K38" s="5"/>
      <c r="L38" s="2" t="s">
        <v>1213</v>
      </c>
      <c r="M38" s="2"/>
    </row>
    <row r="39" spans="1:12" ht="9.75" customHeight="1">
      <c r="A39" s="2"/>
      <c r="B39" s="2" t="s">
        <v>709</v>
      </c>
      <c r="C39" s="2"/>
      <c r="D39" s="2" t="s">
        <v>710</v>
      </c>
      <c r="E39" s="2" t="s">
        <v>711</v>
      </c>
      <c r="L39" s="5"/>
    </row>
    <row r="40" spans="1:6" ht="9.75" customHeight="1">
      <c r="A40" s="454">
        <v>66070001</v>
      </c>
      <c r="B40" s="2" t="s">
        <v>712</v>
      </c>
      <c r="E40" s="2" t="s">
        <v>713</v>
      </c>
      <c r="F40" s="2">
        <v>1233</v>
      </c>
    </row>
    <row r="41" spans="1:11" ht="9.75" customHeight="1">
      <c r="A41" s="2">
        <v>66130002</v>
      </c>
      <c r="B41" s="2" t="s">
        <v>714</v>
      </c>
      <c r="C41" s="452"/>
      <c r="D41" s="2" t="s">
        <v>715</v>
      </c>
      <c r="E41" s="2" t="s">
        <v>716</v>
      </c>
      <c r="F41" s="2">
        <v>1225</v>
      </c>
      <c r="G41" s="2" t="s">
        <v>638</v>
      </c>
      <c r="H41" s="2" t="s">
        <v>157</v>
      </c>
      <c r="K41" s="5" t="s">
        <v>717</v>
      </c>
    </row>
    <row r="42" spans="1:9" ht="9.75" customHeight="1">
      <c r="A42" s="2">
        <v>57240022</v>
      </c>
      <c r="B42" s="2" t="s">
        <v>718</v>
      </c>
      <c r="C42" s="2" t="s">
        <v>719</v>
      </c>
      <c r="D42" s="2" t="s">
        <v>720</v>
      </c>
      <c r="E42" s="2" t="s">
        <v>721</v>
      </c>
      <c r="F42" s="2">
        <v>1260</v>
      </c>
      <c r="I42" s="2" t="s">
        <v>722</v>
      </c>
    </row>
    <row r="43" spans="1:13" ht="9.75" customHeight="1">
      <c r="A43" s="2"/>
      <c r="B43" s="2" t="s">
        <v>1123</v>
      </c>
      <c r="C43" s="452"/>
      <c r="D43" s="2" t="s">
        <v>1124</v>
      </c>
      <c r="E43" s="2" t="s">
        <v>1125</v>
      </c>
      <c r="F43" s="2">
        <v>6060</v>
      </c>
      <c r="K43" s="5" t="s">
        <v>1126</v>
      </c>
      <c r="L43" s="2" t="s">
        <v>584</v>
      </c>
      <c r="M43" s="2"/>
    </row>
    <row r="44" spans="1:7" ht="9.75" customHeight="1">
      <c r="A44" s="2"/>
      <c r="B44" s="2" t="s">
        <v>723</v>
      </c>
      <c r="C44" s="452"/>
      <c r="E44" s="2" t="s">
        <v>724</v>
      </c>
      <c r="F44" s="2"/>
      <c r="G44" s="2" t="s">
        <v>725</v>
      </c>
    </row>
    <row r="45" spans="1:11" ht="9.75" customHeight="1">
      <c r="A45" s="2">
        <v>56240022</v>
      </c>
      <c r="B45" s="2" t="s">
        <v>726</v>
      </c>
      <c r="C45" s="2" t="s">
        <v>727</v>
      </c>
      <c r="D45" s="2" t="s">
        <v>728</v>
      </c>
      <c r="E45" s="2" t="s">
        <v>729</v>
      </c>
      <c r="F45" s="2">
        <v>1030</v>
      </c>
      <c r="K45" s="5"/>
    </row>
    <row r="46" spans="1:6" ht="9.75" customHeight="1">
      <c r="A46" s="2">
        <v>59380004</v>
      </c>
      <c r="B46" s="2" t="s">
        <v>730</v>
      </c>
      <c r="C46" s="2" t="s">
        <v>731</v>
      </c>
      <c r="D46" s="453" t="s">
        <v>732</v>
      </c>
      <c r="E46" s="453" t="s">
        <v>733</v>
      </c>
      <c r="F46" s="2">
        <v>1401</v>
      </c>
    </row>
    <row r="47" spans="1:11" ht="9.75" customHeight="1">
      <c r="A47" s="2"/>
      <c r="B47" s="2" t="s">
        <v>1214</v>
      </c>
      <c r="C47" s="452"/>
      <c r="E47" s="2" t="s">
        <v>1215</v>
      </c>
      <c r="K47" s="5"/>
    </row>
    <row r="48" spans="1:6" ht="9.75" customHeight="1">
      <c r="A48" s="2">
        <v>99999995</v>
      </c>
      <c r="B48" s="2" t="s">
        <v>734</v>
      </c>
      <c r="C48" s="2"/>
      <c r="D48" s="2" t="s">
        <v>735</v>
      </c>
      <c r="E48" s="2" t="s">
        <v>736</v>
      </c>
      <c r="F48" s="2">
        <v>1211</v>
      </c>
    </row>
    <row r="49" spans="1:9" ht="9.75" customHeight="1">
      <c r="A49" s="2">
        <v>55860033</v>
      </c>
      <c r="B49" s="2" t="s">
        <v>737</v>
      </c>
      <c r="C49" s="2"/>
      <c r="D49" s="2" t="s">
        <v>710</v>
      </c>
      <c r="E49" s="2" t="s">
        <v>711</v>
      </c>
      <c r="F49" s="2">
        <v>1000</v>
      </c>
      <c r="I49" s="2" t="s">
        <v>738</v>
      </c>
    </row>
    <row r="50" spans="1:6" ht="9.75" customHeight="1">
      <c r="A50" s="2">
        <v>99999996</v>
      </c>
      <c r="B50" s="2" t="s">
        <v>739</v>
      </c>
      <c r="E50" s="2" t="s">
        <v>740</v>
      </c>
      <c r="F50" s="2">
        <v>3280</v>
      </c>
    </row>
    <row r="51" spans="1:6" ht="9.75" customHeight="1">
      <c r="A51" s="2">
        <v>99999997</v>
      </c>
      <c r="B51" s="2" t="s">
        <v>741</v>
      </c>
      <c r="E51" s="2" t="s">
        <v>742</v>
      </c>
      <c r="F51" s="2">
        <v>4313</v>
      </c>
    </row>
    <row r="52" spans="1:11" ht="9.75" customHeight="1">
      <c r="A52" s="2">
        <v>66360002</v>
      </c>
      <c r="B52" s="2" t="s">
        <v>743</v>
      </c>
      <c r="C52" s="452" t="s">
        <v>744</v>
      </c>
      <c r="D52" s="2" t="s">
        <v>745</v>
      </c>
      <c r="E52" s="2" t="s">
        <v>746</v>
      </c>
      <c r="F52" s="2">
        <v>1241</v>
      </c>
      <c r="G52" s="2" t="s">
        <v>638</v>
      </c>
      <c r="H52" s="2" t="s">
        <v>157</v>
      </c>
      <c r="I52" s="2" t="s">
        <v>747</v>
      </c>
      <c r="J52" s="2"/>
      <c r="K52" s="2" t="s">
        <v>748</v>
      </c>
    </row>
    <row r="53" spans="1:6" ht="9.75" customHeight="1">
      <c r="A53" s="2">
        <v>65210003</v>
      </c>
      <c r="B53" s="452" t="s">
        <v>749</v>
      </c>
      <c r="C53" s="2"/>
      <c r="D53" s="2" t="s">
        <v>750</v>
      </c>
      <c r="E53" s="2" t="s">
        <v>751</v>
      </c>
      <c r="F53" s="2">
        <v>1123</v>
      </c>
    </row>
    <row r="54" spans="1:11" ht="9.75" customHeight="1">
      <c r="A54" s="2">
        <v>87070001</v>
      </c>
      <c r="B54" s="2" t="s">
        <v>752</v>
      </c>
      <c r="C54" s="452"/>
      <c r="D54" s="2" t="s">
        <v>753</v>
      </c>
      <c r="E54" s="2" t="s">
        <v>754</v>
      </c>
      <c r="F54" s="2">
        <v>8230</v>
      </c>
      <c r="G54" s="2"/>
      <c r="H54" s="2" t="s">
        <v>316</v>
      </c>
      <c r="K54" s="2" t="s">
        <v>755</v>
      </c>
    </row>
    <row r="55" spans="1:9" ht="9.75" customHeight="1">
      <c r="A55" s="5">
        <v>64570009</v>
      </c>
      <c r="B55" s="448" t="s">
        <v>756</v>
      </c>
      <c r="C55" s="2" t="s">
        <v>757</v>
      </c>
      <c r="D55" s="5" t="s">
        <v>758</v>
      </c>
      <c r="E55" s="5" t="s">
        <v>759</v>
      </c>
      <c r="F55" s="5">
        <v>2074</v>
      </c>
      <c r="I55" s="5" t="s">
        <v>760</v>
      </c>
    </row>
    <row r="56" spans="1:11" ht="9.75" customHeight="1">
      <c r="A56" s="2">
        <v>99999919</v>
      </c>
      <c r="B56" s="2" t="s">
        <v>761</v>
      </c>
      <c r="C56" s="452" t="s">
        <v>762</v>
      </c>
      <c r="D56" s="2" t="s">
        <v>763</v>
      </c>
      <c r="E56" s="2" t="s">
        <v>736</v>
      </c>
      <c r="F56" s="2">
        <v>1211</v>
      </c>
      <c r="G56" s="2" t="s">
        <v>638</v>
      </c>
      <c r="H56" s="2" t="s">
        <v>157</v>
      </c>
      <c r="I56" s="2" t="s">
        <v>764</v>
      </c>
      <c r="J56" s="2" t="s">
        <v>765</v>
      </c>
      <c r="K56" s="2"/>
    </row>
    <row r="57" spans="1:6" ht="9.75" customHeight="1">
      <c r="A57" s="2">
        <v>55860484</v>
      </c>
      <c r="B57" s="2" t="s">
        <v>766</v>
      </c>
      <c r="C57" s="2"/>
      <c r="D57" s="452" t="s">
        <v>767</v>
      </c>
      <c r="E57" s="2" t="s">
        <v>768</v>
      </c>
      <c r="F57" s="2">
        <v>1000</v>
      </c>
    </row>
    <row r="58" spans="1:6" ht="9.75" customHeight="1">
      <c r="A58" s="2">
        <v>58890008</v>
      </c>
      <c r="B58" s="2" t="s">
        <v>766</v>
      </c>
      <c r="C58" s="2"/>
      <c r="D58" s="2" t="s">
        <v>769</v>
      </c>
      <c r="E58" s="2" t="s">
        <v>770</v>
      </c>
      <c r="F58" s="2">
        <v>1800</v>
      </c>
    </row>
    <row r="59" spans="1:7" ht="9.75" customHeight="1">
      <c r="A59" s="2">
        <v>99999999</v>
      </c>
      <c r="B59" s="2" t="s">
        <v>771</v>
      </c>
      <c r="C59" s="452"/>
      <c r="G59" s="2" t="s">
        <v>725</v>
      </c>
    </row>
    <row r="60" spans="1:9" ht="9.75" customHeight="1">
      <c r="A60" s="2">
        <v>66210329</v>
      </c>
      <c r="B60" s="2" t="s">
        <v>772</v>
      </c>
      <c r="C60" s="2"/>
      <c r="D60" s="2" t="s">
        <v>773</v>
      </c>
      <c r="E60" s="2" t="s">
        <v>774</v>
      </c>
      <c r="F60" s="2">
        <v>1202</v>
      </c>
      <c r="I60" s="2" t="s">
        <v>775</v>
      </c>
    </row>
    <row r="61" spans="1:8" ht="9.75" customHeight="1">
      <c r="A61" s="2"/>
      <c r="B61" s="2" t="s">
        <v>776</v>
      </c>
      <c r="C61" s="452" t="s">
        <v>777</v>
      </c>
      <c r="D61" s="2" t="s">
        <v>778</v>
      </c>
      <c r="E61" s="2" t="s">
        <v>779</v>
      </c>
      <c r="F61" s="2">
        <v>5322</v>
      </c>
      <c r="G61" s="2" t="s">
        <v>780</v>
      </c>
      <c r="H61" s="2" t="s">
        <v>157</v>
      </c>
    </row>
    <row r="62" spans="1:6" ht="9.75" customHeight="1">
      <c r="A62" s="2">
        <v>61400005</v>
      </c>
      <c r="B62" s="2" t="s">
        <v>781</v>
      </c>
      <c r="C62" s="453"/>
      <c r="E62" s="2" t="s">
        <v>782</v>
      </c>
      <c r="F62" s="2">
        <v>1913</v>
      </c>
    </row>
    <row r="63" spans="1:6" ht="9.75" customHeight="1">
      <c r="A63" s="2">
        <v>99999998</v>
      </c>
      <c r="B63" s="2" t="s">
        <v>783</v>
      </c>
      <c r="E63" s="2" t="s">
        <v>784</v>
      </c>
      <c r="F63" s="2">
        <v>1052</v>
      </c>
    </row>
    <row r="64" spans="1:6" ht="9.75" customHeight="1">
      <c r="A64" s="2">
        <v>55860329</v>
      </c>
      <c r="B64" s="2" t="s">
        <v>785</v>
      </c>
      <c r="C64" s="2"/>
      <c r="D64" s="453" t="s">
        <v>786</v>
      </c>
      <c r="E64" s="2" t="s">
        <v>617</v>
      </c>
      <c r="F64" s="2">
        <v>1004</v>
      </c>
    </row>
    <row r="65" spans="1:9" ht="9.75" customHeight="1">
      <c r="A65" s="2">
        <v>58900120</v>
      </c>
      <c r="B65" s="2" t="s">
        <v>787</v>
      </c>
      <c r="C65" s="2" t="s">
        <v>788</v>
      </c>
      <c r="D65" s="2" t="s">
        <v>789</v>
      </c>
      <c r="E65" s="2" t="s">
        <v>770</v>
      </c>
      <c r="F65" s="2">
        <v>1800</v>
      </c>
      <c r="I65" s="453" t="s">
        <v>790</v>
      </c>
    </row>
    <row r="66" spans="1:7" ht="9.75" customHeight="1">
      <c r="A66" s="2">
        <v>61530021</v>
      </c>
      <c r="B66" s="2" t="s">
        <v>787</v>
      </c>
      <c r="C66" s="2"/>
      <c r="D66" s="2" t="s">
        <v>791</v>
      </c>
      <c r="E66" s="2" t="s">
        <v>644</v>
      </c>
      <c r="F66" s="2">
        <v>1870</v>
      </c>
      <c r="G66" s="2" t="s">
        <v>612</v>
      </c>
    </row>
    <row r="67" spans="1:6" ht="9.75" customHeight="1">
      <c r="A67" s="2">
        <v>99999999</v>
      </c>
      <c r="B67" s="453" t="s">
        <v>792</v>
      </c>
      <c r="C67" s="2"/>
      <c r="D67" s="453" t="s">
        <v>793</v>
      </c>
      <c r="E67" s="2" t="s">
        <v>601</v>
      </c>
      <c r="F67" s="2">
        <v>1020</v>
      </c>
    </row>
    <row r="68" spans="1:9" ht="9.75" customHeight="1">
      <c r="A68" s="2">
        <v>64210014</v>
      </c>
      <c r="B68" s="2" t="s">
        <v>794</v>
      </c>
      <c r="C68" s="2" t="s">
        <v>795</v>
      </c>
      <c r="D68" s="453" t="s">
        <v>796</v>
      </c>
      <c r="E68" s="2" t="s">
        <v>797</v>
      </c>
      <c r="F68" s="2">
        <v>2300</v>
      </c>
      <c r="I68" s="453" t="s">
        <v>798</v>
      </c>
    </row>
    <row r="69" spans="1:9" ht="9.75" customHeight="1">
      <c r="A69" s="2">
        <v>20430004</v>
      </c>
      <c r="B69" s="2" t="s">
        <v>799</v>
      </c>
      <c r="C69" s="2"/>
      <c r="D69" s="2" t="s">
        <v>800</v>
      </c>
      <c r="E69" s="2" t="s">
        <v>801</v>
      </c>
      <c r="F69" s="2">
        <v>1541</v>
      </c>
      <c r="I69" s="453" t="s">
        <v>802</v>
      </c>
    </row>
    <row r="70" spans="1:8" ht="9.75" customHeight="1">
      <c r="A70" s="2">
        <v>55861409</v>
      </c>
      <c r="B70" s="2" t="s">
        <v>803</v>
      </c>
      <c r="C70" s="452" t="s">
        <v>804</v>
      </c>
      <c r="D70" s="2" t="s">
        <v>805</v>
      </c>
      <c r="E70" s="2" t="s">
        <v>806</v>
      </c>
      <c r="F70" s="2">
        <v>1000</v>
      </c>
      <c r="G70" s="2" t="s">
        <v>807</v>
      </c>
      <c r="H70" s="2" t="s">
        <v>157</v>
      </c>
    </row>
    <row r="71" spans="1:13" ht="9.75" customHeight="1">
      <c r="A71" s="2">
        <v>55870079</v>
      </c>
      <c r="B71" s="2" t="s">
        <v>808</v>
      </c>
      <c r="C71" s="2"/>
      <c r="D71" s="452" t="s">
        <v>809</v>
      </c>
      <c r="E71" s="2" t="s">
        <v>784</v>
      </c>
      <c r="F71" s="2">
        <v>1052</v>
      </c>
      <c r="I71" s="453" t="s">
        <v>810</v>
      </c>
      <c r="M71" s="5"/>
    </row>
    <row r="72" spans="1:11" ht="9.75" customHeight="1">
      <c r="A72" s="2">
        <v>4470003</v>
      </c>
      <c r="B72" s="2" t="s">
        <v>811</v>
      </c>
      <c r="C72" s="452" t="s">
        <v>812</v>
      </c>
      <c r="D72" s="2" t="s">
        <v>813</v>
      </c>
      <c r="E72" s="2" t="s">
        <v>814</v>
      </c>
      <c r="F72" s="2">
        <v>2535</v>
      </c>
      <c r="G72" s="2" t="s">
        <v>316</v>
      </c>
      <c r="H72" s="2" t="s">
        <v>157</v>
      </c>
      <c r="K72" s="2" t="s">
        <v>815</v>
      </c>
    </row>
    <row r="73" spans="1:9" ht="9.75" customHeight="1">
      <c r="A73" s="2">
        <v>28490001</v>
      </c>
      <c r="B73" s="453" t="s">
        <v>816</v>
      </c>
      <c r="C73" s="453" t="s">
        <v>817</v>
      </c>
      <c r="D73" s="2"/>
      <c r="E73" s="2" t="s">
        <v>818</v>
      </c>
      <c r="F73" s="2">
        <v>4452</v>
      </c>
      <c r="I73" s="453" t="s">
        <v>819</v>
      </c>
    </row>
    <row r="74" spans="1:11" ht="9.75" customHeight="1">
      <c r="A74" s="2">
        <v>999999910</v>
      </c>
      <c r="B74" s="2" t="s">
        <v>1114</v>
      </c>
      <c r="C74" s="452"/>
      <c r="D74" s="2" t="s">
        <v>1115</v>
      </c>
      <c r="E74" s="2" t="s">
        <v>736</v>
      </c>
      <c r="F74" s="2">
        <v>1211</v>
      </c>
      <c r="G74" s="2" t="s">
        <v>638</v>
      </c>
      <c r="H74" s="2" t="s">
        <v>157</v>
      </c>
      <c r="I74" s="2" t="s">
        <v>1116</v>
      </c>
      <c r="J74" s="2" t="s">
        <v>1117</v>
      </c>
      <c r="K74" s="5" t="s">
        <v>1118</v>
      </c>
    </row>
    <row r="75" spans="1:10" ht="9.75" customHeight="1">
      <c r="A75" s="2">
        <v>6633076</v>
      </c>
      <c r="B75" s="453" t="s">
        <v>820</v>
      </c>
      <c r="C75" s="2" t="s">
        <v>821</v>
      </c>
      <c r="D75" s="2"/>
      <c r="E75" s="2" t="s">
        <v>822</v>
      </c>
      <c r="F75" s="2">
        <v>1228</v>
      </c>
      <c r="G75" s="453"/>
      <c r="H75" s="453"/>
      <c r="I75" s="453" t="s">
        <v>823</v>
      </c>
      <c r="J75" s="453"/>
    </row>
    <row r="76" spans="1:12" ht="9.75" customHeight="1">
      <c r="A76" s="2">
        <v>99999911</v>
      </c>
      <c r="B76" s="2" t="s">
        <v>824</v>
      </c>
      <c r="C76" s="2"/>
      <c r="D76" s="2" t="s">
        <v>825</v>
      </c>
      <c r="E76" s="2" t="s">
        <v>627</v>
      </c>
      <c r="F76" s="2">
        <v>1023</v>
      </c>
      <c r="L76" s="5"/>
    </row>
    <row r="77" spans="1:6" ht="9.75" customHeight="1">
      <c r="A77" s="2">
        <v>99999912</v>
      </c>
      <c r="B77" s="2" t="s">
        <v>826</v>
      </c>
      <c r="C77" s="2"/>
      <c r="D77" s="2" t="s">
        <v>827</v>
      </c>
      <c r="E77" s="2" t="s">
        <v>751</v>
      </c>
      <c r="F77" s="2">
        <v>1123</v>
      </c>
    </row>
    <row r="78" spans="1:9" ht="9.75" customHeight="1">
      <c r="A78" s="2">
        <v>33740001</v>
      </c>
      <c r="B78" s="2" t="s">
        <v>828</v>
      </c>
      <c r="E78" s="2" t="s">
        <v>829</v>
      </c>
      <c r="F78" s="2">
        <v>9620</v>
      </c>
      <c r="I78" s="2" t="s">
        <v>830</v>
      </c>
    </row>
    <row r="79" spans="1:6" ht="9.75" customHeight="1">
      <c r="A79" s="2">
        <v>55861506</v>
      </c>
      <c r="B79" s="2" t="s">
        <v>831</v>
      </c>
      <c r="C79" s="2"/>
      <c r="D79" s="2" t="s">
        <v>1112</v>
      </c>
      <c r="E79" s="2" t="s">
        <v>617</v>
      </c>
      <c r="F79" s="2">
        <v>1000</v>
      </c>
    </row>
    <row r="80" spans="1:6" ht="9.75" customHeight="1">
      <c r="A80" s="2"/>
      <c r="B80" s="2" t="s">
        <v>831</v>
      </c>
      <c r="E80" s="2" t="s">
        <v>604</v>
      </c>
      <c r="F80" s="2">
        <v>1110</v>
      </c>
    </row>
    <row r="81" spans="1:6" ht="9.75" customHeight="1">
      <c r="A81" s="2">
        <v>66380050</v>
      </c>
      <c r="B81" s="2" t="s">
        <v>832</v>
      </c>
      <c r="C81" s="2" t="s">
        <v>833</v>
      </c>
      <c r="D81" s="453" t="s">
        <v>834</v>
      </c>
      <c r="E81" s="453" t="s">
        <v>835</v>
      </c>
      <c r="F81" s="2">
        <v>1242</v>
      </c>
    </row>
    <row r="82" spans="1:6" ht="9.75" customHeight="1">
      <c r="A82" s="2">
        <v>99999913</v>
      </c>
      <c r="B82" s="2" t="s">
        <v>836</v>
      </c>
      <c r="C82" s="2" t="s">
        <v>837</v>
      </c>
      <c r="D82" s="2" t="s">
        <v>838</v>
      </c>
      <c r="E82" s="2" t="s">
        <v>839</v>
      </c>
      <c r="F82" s="2">
        <v>2000</v>
      </c>
    </row>
    <row r="83" spans="1:6" ht="9.75" customHeight="1">
      <c r="A83" s="2">
        <v>66430146</v>
      </c>
      <c r="B83" s="2" t="s">
        <v>840</v>
      </c>
      <c r="C83" s="2" t="s">
        <v>841</v>
      </c>
      <c r="D83" s="453" t="s">
        <v>842</v>
      </c>
      <c r="E83" s="2" t="s">
        <v>843</v>
      </c>
      <c r="F83" s="2">
        <v>1219</v>
      </c>
    </row>
    <row r="84" spans="1:6" ht="9.75" customHeight="1">
      <c r="A84" s="2">
        <v>59380186</v>
      </c>
      <c r="B84" s="453" t="s">
        <v>844</v>
      </c>
      <c r="C84" s="2"/>
      <c r="D84" s="452" t="s">
        <v>845</v>
      </c>
      <c r="E84" s="452" t="s">
        <v>846</v>
      </c>
      <c r="F84" s="2">
        <v>1401</v>
      </c>
    </row>
    <row r="85" spans="1:6" ht="9.75" customHeight="1">
      <c r="A85" s="2">
        <v>55910148</v>
      </c>
      <c r="B85" s="453" t="s">
        <v>847</v>
      </c>
      <c r="C85" s="2"/>
      <c r="D85" s="2" t="s">
        <v>848</v>
      </c>
      <c r="E85" s="2" t="s">
        <v>601</v>
      </c>
      <c r="F85" s="2">
        <v>1020</v>
      </c>
    </row>
    <row r="86" spans="1:11" ht="9.75" customHeight="1">
      <c r="A86" s="2">
        <v>99999914</v>
      </c>
      <c r="B86" s="2" t="s">
        <v>849</v>
      </c>
      <c r="C86" s="2"/>
      <c r="D86" s="453" t="s">
        <v>850</v>
      </c>
      <c r="E86" s="2" t="s">
        <v>751</v>
      </c>
      <c r="F86" s="2">
        <v>1123</v>
      </c>
      <c r="K86" s="5"/>
    </row>
    <row r="87" spans="1:9" ht="9.75" customHeight="1">
      <c r="A87" s="2">
        <v>10240031</v>
      </c>
      <c r="B87" s="453" t="s">
        <v>851</v>
      </c>
      <c r="C87" s="2"/>
      <c r="D87" s="453" t="s">
        <v>852</v>
      </c>
      <c r="E87" s="2" t="s">
        <v>853</v>
      </c>
      <c r="F87" s="2">
        <v>6032</v>
      </c>
      <c r="I87" s="2" t="s">
        <v>854</v>
      </c>
    </row>
    <row r="88" spans="1:9" ht="9.75" customHeight="1">
      <c r="A88" s="2">
        <v>79400390</v>
      </c>
      <c r="B88" s="2" t="s">
        <v>855</v>
      </c>
      <c r="C88" s="2" t="s">
        <v>856</v>
      </c>
      <c r="D88" s="456"/>
      <c r="E88" s="2" t="s">
        <v>857</v>
      </c>
      <c r="F88" s="2">
        <v>3770</v>
      </c>
      <c r="I88" s="455">
        <v>309322525</v>
      </c>
    </row>
    <row r="89" spans="1:8" ht="9.75" customHeight="1">
      <c r="A89" s="2"/>
      <c r="B89" s="2" t="s">
        <v>858</v>
      </c>
      <c r="C89" s="452" t="s">
        <v>859</v>
      </c>
      <c r="D89" s="455" t="s">
        <v>860</v>
      </c>
      <c r="E89" s="2" t="s">
        <v>861</v>
      </c>
      <c r="F89" s="2">
        <v>1205</v>
      </c>
      <c r="G89" s="2" t="s">
        <v>638</v>
      </c>
      <c r="H89" s="2" t="s">
        <v>157</v>
      </c>
    </row>
    <row r="90" spans="1:9" ht="9.75" customHeight="1">
      <c r="A90" s="456">
        <v>87500005</v>
      </c>
      <c r="B90" s="453" t="s">
        <v>862</v>
      </c>
      <c r="C90" s="2"/>
      <c r="D90" s="2" t="s">
        <v>863</v>
      </c>
      <c r="E90" s="2" t="s">
        <v>864</v>
      </c>
      <c r="F90" s="454" t="s">
        <v>865</v>
      </c>
      <c r="G90" s="2"/>
      <c r="H90" s="2" t="s">
        <v>316</v>
      </c>
      <c r="I90" s="455" t="s">
        <v>866</v>
      </c>
    </row>
    <row r="91" spans="1:11" ht="9.75" customHeight="1">
      <c r="A91" s="2">
        <v>25730032</v>
      </c>
      <c r="B91" s="2" t="s">
        <v>867</v>
      </c>
      <c r="C91" s="452" t="s">
        <v>868</v>
      </c>
      <c r="D91" s="2" t="s">
        <v>869</v>
      </c>
      <c r="E91" s="2" t="s">
        <v>870</v>
      </c>
      <c r="F91" s="2">
        <v>4657</v>
      </c>
      <c r="G91" s="2"/>
      <c r="H91" s="2" t="s">
        <v>157</v>
      </c>
      <c r="K91" s="5" t="s">
        <v>152</v>
      </c>
    </row>
    <row r="92" spans="1:11" ht="9.75" customHeight="1">
      <c r="A92" s="2"/>
      <c r="B92" s="2" t="s">
        <v>1208</v>
      </c>
      <c r="C92" s="452"/>
      <c r="D92" s="2" t="s">
        <v>1209</v>
      </c>
      <c r="E92" s="2" t="s">
        <v>1210</v>
      </c>
      <c r="F92" s="2">
        <v>5000</v>
      </c>
      <c r="K92" s="5"/>
    </row>
    <row r="93" spans="1:8" ht="9.75" customHeight="1">
      <c r="A93" s="2">
        <v>57440002</v>
      </c>
      <c r="B93" s="2" t="s">
        <v>871</v>
      </c>
      <c r="C93" s="452"/>
      <c r="D93" s="2" t="s">
        <v>872</v>
      </c>
      <c r="E93" s="2" t="s">
        <v>873</v>
      </c>
      <c r="F93" s="2">
        <v>1338</v>
      </c>
      <c r="G93" s="2"/>
      <c r="H93" s="2" t="s">
        <v>157</v>
      </c>
    </row>
    <row r="94" spans="1:8" ht="9.75" customHeight="1">
      <c r="A94" s="2">
        <v>66210259</v>
      </c>
      <c r="B94" s="453" t="s">
        <v>874</v>
      </c>
      <c r="C94" s="2" t="s">
        <v>875</v>
      </c>
      <c r="D94" s="2" t="s">
        <v>876</v>
      </c>
      <c r="E94" s="2" t="s">
        <v>861</v>
      </c>
      <c r="F94" s="2">
        <v>1204</v>
      </c>
      <c r="G94" s="2" t="s">
        <v>638</v>
      </c>
      <c r="H94" s="2" t="s">
        <v>157</v>
      </c>
    </row>
    <row r="95" spans="1:9" ht="9.75" customHeight="1">
      <c r="A95" s="2">
        <v>99999915</v>
      </c>
      <c r="B95" s="2" t="s">
        <v>877</v>
      </c>
      <c r="C95" s="453" t="s">
        <v>878</v>
      </c>
      <c r="D95" s="452" t="s">
        <v>879</v>
      </c>
      <c r="E95" s="2" t="s">
        <v>880</v>
      </c>
      <c r="F95" s="2">
        <v>8962</v>
      </c>
      <c r="G95" s="2" t="s">
        <v>881</v>
      </c>
      <c r="H95" s="2" t="s">
        <v>157</v>
      </c>
      <c r="I95" s="456" t="s">
        <v>882</v>
      </c>
    </row>
    <row r="96" spans="1:9" ht="9.75" customHeight="1">
      <c r="A96" s="454" t="s">
        <v>883</v>
      </c>
      <c r="B96" s="452" t="s">
        <v>884</v>
      </c>
      <c r="C96" s="453" t="s">
        <v>885</v>
      </c>
      <c r="D96" s="2" t="s">
        <v>886</v>
      </c>
      <c r="E96" s="2" t="s">
        <v>887</v>
      </c>
      <c r="F96" s="2">
        <v>3113</v>
      </c>
      <c r="G96" s="2" t="s">
        <v>888</v>
      </c>
      <c r="H96" s="2" t="s">
        <v>157</v>
      </c>
      <c r="I96" s="456" t="s">
        <v>889</v>
      </c>
    </row>
    <row r="97" spans="1:10" ht="9.75" customHeight="1">
      <c r="A97" s="5">
        <v>21900004</v>
      </c>
      <c r="B97" s="2" t="s">
        <v>890</v>
      </c>
      <c r="C97" s="452" t="s">
        <v>891</v>
      </c>
      <c r="D97" s="2" t="s">
        <v>892</v>
      </c>
      <c r="E97" s="2" t="s">
        <v>893</v>
      </c>
      <c r="F97" s="2">
        <v>1242</v>
      </c>
      <c r="G97" s="2" t="s">
        <v>638</v>
      </c>
      <c r="H97" s="2" t="s">
        <v>157</v>
      </c>
      <c r="I97" s="2" t="s">
        <v>894</v>
      </c>
      <c r="J97" s="5"/>
    </row>
    <row r="98" spans="1:8" ht="9.75" customHeight="1">
      <c r="A98" s="2">
        <v>57240014</v>
      </c>
      <c r="B98" s="2" t="s">
        <v>895</v>
      </c>
      <c r="C98" s="452" t="s">
        <v>896</v>
      </c>
      <c r="D98" s="2"/>
      <c r="E98" s="2" t="s">
        <v>721</v>
      </c>
      <c r="F98" s="2">
        <v>1260</v>
      </c>
      <c r="G98" s="2" t="s">
        <v>638</v>
      </c>
      <c r="H98" s="2" t="s">
        <v>157</v>
      </c>
    </row>
    <row r="99" spans="1:10" ht="9.75" customHeight="1">
      <c r="A99" s="2">
        <v>99999916</v>
      </c>
      <c r="B99" s="448" t="s">
        <v>353</v>
      </c>
      <c r="C99" s="5" t="s">
        <v>897</v>
      </c>
      <c r="D99" s="5" t="s">
        <v>898</v>
      </c>
      <c r="E99" s="5" t="s">
        <v>899</v>
      </c>
      <c r="F99" s="5">
        <v>1754</v>
      </c>
      <c r="G99" s="5"/>
      <c r="H99" s="5"/>
      <c r="I99" s="457" t="s">
        <v>900</v>
      </c>
      <c r="J99" s="5"/>
    </row>
    <row r="100" spans="1:8" ht="9.75" customHeight="1">
      <c r="A100" s="2"/>
      <c r="B100" s="2" t="s">
        <v>901</v>
      </c>
      <c r="C100" s="2" t="s">
        <v>902</v>
      </c>
      <c r="D100" s="2" t="s">
        <v>903</v>
      </c>
      <c r="E100" s="2" t="s">
        <v>751</v>
      </c>
      <c r="F100" s="2">
        <v>1123</v>
      </c>
      <c r="G100" s="2" t="s">
        <v>807</v>
      </c>
      <c r="H100" s="2" t="s">
        <v>157</v>
      </c>
    </row>
    <row r="101" spans="1:8" ht="9.75" customHeight="1">
      <c r="A101" s="2"/>
      <c r="B101" s="2" t="s">
        <v>901</v>
      </c>
      <c r="C101" s="2" t="s">
        <v>902</v>
      </c>
      <c r="D101" s="2"/>
      <c r="E101" s="2" t="s">
        <v>904</v>
      </c>
      <c r="F101" s="2">
        <v>4313</v>
      </c>
      <c r="G101" s="2" t="s">
        <v>881</v>
      </c>
      <c r="H101" s="2" t="s">
        <v>157</v>
      </c>
    </row>
    <row r="102" spans="1:6" ht="9.75" customHeight="1">
      <c r="A102" s="454" t="s">
        <v>905</v>
      </c>
      <c r="B102" s="2" t="s">
        <v>906</v>
      </c>
      <c r="C102" s="2"/>
      <c r="D102" s="2" t="s">
        <v>907</v>
      </c>
      <c r="E102" s="2" t="s">
        <v>908</v>
      </c>
      <c r="F102" s="2">
        <v>1462</v>
      </c>
    </row>
    <row r="103" spans="1:11" ht="9.75" customHeight="1">
      <c r="A103" s="2">
        <v>55860127</v>
      </c>
      <c r="B103" s="453" t="s">
        <v>909</v>
      </c>
      <c r="C103" s="455" t="s">
        <v>910</v>
      </c>
      <c r="D103" s="2" t="s">
        <v>911</v>
      </c>
      <c r="E103" s="2" t="s">
        <v>912</v>
      </c>
      <c r="F103" s="2">
        <v>3295</v>
      </c>
      <c r="I103" s="455" t="s">
        <v>913</v>
      </c>
      <c r="K103" s="5"/>
    </row>
    <row r="104" spans="1:11" ht="9.75" customHeight="1">
      <c r="A104" s="2">
        <v>10000100</v>
      </c>
      <c r="B104" s="2" t="s">
        <v>914</v>
      </c>
      <c r="C104" s="2" t="s">
        <v>915</v>
      </c>
      <c r="D104" s="2" t="s">
        <v>916</v>
      </c>
      <c r="E104" s="2" t="s">
        <v>617</v>
      </c>
      <c r="F104" s="2">
        <v>1005</v>
      </c>
      <c r="I104" s="2" t="s">
        <v>917</v>
      </c>
      <c r="K104" s="5"/>
    </row>
    <row r="105" spans="1:11" ht="9.75" customHeight="1">
      <c r="A105" s="454">
        <v>21960009</v>
      </c>
      <c r="B105" s="2" t="s">
        <v>918</v>
      </c>
      <c r="D105" s="452"/>
      <c r="E105" s="2" t="s">
        <v>635</v>
      </c>
      <c r="F105" s="2">
        <v>1700</v>
      </c>
      <c r="I105" s="2" t="s">
        <v>919</v>
      </c>
      <c r="K105" s="5"/>
    </row>
    <row r="106" spans="1:11" ht="9.75" customHeight="1">
      <c r="A106" s="2">
        <v>99999917</v>
      </c>
      <c r="B106" s="453" t="s">
        <v>920</v>
      </c>
      <c r="C106" s="2"/>
      <c r="D106" s="2" t="s">
        <v>921</v>
      </c>
      <c r="E106" s="2" t="s">
        <v>635</v>
      </c>
      <c r="F106" s="2">
        <v>1700</v>
      </c>
      <c r="K106" s="5"/>
    </row>
    <row r="107" spans="1:11" ht="9.75" customHeight="1">
      <c r="A107" s="2">
        <v>56240005</v>
      </c>
      <c r="B107" s="2" t="s">
        <v>922</v>
      </c>
      <c r="C107" s="2" t="s">
        <v>923</v>
      </c>
      <c r="D107" s="2"/>
      <c r="E107" s="2" t="s">
        <v>617</v>
      </c>
      <c r="F107" s="2">
        <v>1015</v>
      </c>
      <c r="K107" s="5"/>
    </row>
    <row r="108" spans="1:11" ht="9.75" customHeight="1">
      <c r="A108" s="5">
        <v>62660043</v>
      </c>
      <c r="B108" s="2" t="s">
        <v>924</v>
      </c>
      <c r="C108" s="5"/>
      <c r="D108" s="452" t="s">
        <v>925</v>
      </c>
      <c r="E108" s="452" t="s">
        <v>729</v>
      </c>
      <c r="F108" s="2">
        <v>1030</v>
      </c>
      <c r="K108" s="5"/>
    </row>
    <row r="109" spans="1:11" ht="9.75" customHeight="1">
      <c r="A109" s="2"/>
      <c r="B109" s="5" t="s">
        <v>926</v>
      </c>
      <c r="C109" s="452" t="s">
        <v>927</v>
      </c>
      <c r="D109" s="5"/>
      <c r="E109" s="458" t="s">
        <v>655</v>
      </c>
      <c r="F109" s="5">
        <v>1958</v>
      </c>
      <c r="G109" s="5"/>
      <c r="H109" s="5"/>
      <c r="I109" s="2" t="s">
        <v>928</v>
      </c>
      <c r="J109" s="5"/>
      <c r="K109" s="5"/>
    </row>
    <row r="110" spans="1:12" ht="9.75" customHeight="1">
      <c r="A110" s="2"/>
      <c r="B110" s="2" t="s">
        <v>1120</v>
      </c>
      <c r="C110" s="452" t="s">
        <v>930</v>
      </c>
      <c r="D110" s="2"/>
      <c r="E110" s="2" t="s">
        <v>931</v>
      </c>
      <c r="F110" s="2">
        <v>1228</v>
      </c>
      <c r="G110" s="2" t="s">
        <v>638</v>
      </c>
      <c r="H110" s="2" t="s">
        <v>157</v>
      </c>
      <c r="I110" s="2" t="s">
        <v>932</v>
      </c>
      <c r="J110" s="2"/>
      <c r="K110" s="5" t="s">
        <v>1121</v>
      </c>
      <c r="L110" s="2" t="s">
        <v>1122</v>
      </c>
    </row>
    <row r="111" spans="1:12" ht="9.75" customHeight="1">
      <c r="A111" s="2"/>
      <c r="B111" s="2" t="s">
        <v>929</v>
      </c>
      <c r="C111" s="452" t="s">
        <v>930</v>
      </c>
      <c r="D111" s="2"/>
      <c r="E111" s="2" t="s">
        <v>931</v>
      </c>
      <c r="F111" s="2">
        <v>1228</v>
      </c>
      <c r="G111" s="2" t="s">
        <v>638</v>
      </c>
      <c r="H111" s="2" t="s">
        <v>157</v>
      </c>
      <c r="I111" s="2" t="s">
        <v>932</v>
      </c>
      <c r="J111" s="2"/>
      <c r="K111" s="5" t="s">
        <v>933</v>
      </c>
      <c r="L111" s="2"/>
    </row>
    <row r="112" spans="1:11" ht="9.75" customHeight="1">
      <c r="A112" s="2">
        <v>92100002</v>
      </c>
      <c r="B112" s="2" t="s">
        <v>1</v>
      </c>
      <c r="C112" s="2"/>
      <c r="D112" s="2" t="s">
        <v>934</v>
      </c>
      <c r="E112" s="2" t="s">
        <v>935</v>
      </c>
      <c r="F112" s="2">
        <v>3851</v>
      </c>
      <c r="G112" s="2"/>
      <c r="H112" s="2" t="s">
        <v>318</v>
      </c>
      <c r="I112" s="2" t="s">
        <v>936</v>
      </c>
      <c r="J112" s="2" t="s">
        <v>937</v>
      </c>
      <c r="K112" s="5"/>
    </row>
    <row r="113" spans="1:11" ht="9.75" customHeight="1">
      <c r="A113" s="2">
        <v>55820011</v>
      </c>
      <c r="B113" s="453" t="s">
        <v>938</v>
      </c>
      <c r="C113" s="5"/>
      <c r="D113" s="2" t="s">
        <v>939</v>
      </c>
      <c r="E113" s="453" t="s">
        <v>940</v>
      </c>
      <c r="F113" s="2">
        <v>1033</v>
      </c>
      <c r="H113" s="5"/>
      <c r="I113" s="5"/>
      <c r="J113" s="5"/>
      <c r="K113" s="5"/>
    </row>
    <row r="114" spans="1:11" ht="9.75" customHeight="1">
      <c r="A114" s="5">
        <v>58100130</v>
      </c>
      <c r="B114" s="2" t="s">
        <v>941</v>
      </c>
      <c r="C114" s="2"/>
      <c r="D114" s="2" t="s">
        <v>942</v>
      </c>
      <c r="E114" s="2" t="s">
        <v>943</v>
      </c>
      <c r="F114" s="2">
        <v>1564</v>
      </c>
      <c r="K114" s="5"/>
    </row>
    <row r="115" spans="1:11" ht="9.75" customHeight="1">
      <c r="A115" s="2">
        <v>99999918</v>
      </c>
      <c r="B115" s="458" t="s">
        <v>944</v>
      </c>
      <c r="C115" s="2"/>
      <c r="D115" s="5" t="s">
        <v>945</v>
      </c>
      <c r="E115" s="5" t="s">
        <v>946</v>
      </c>
      <c r="F115" s="5">
        <v>3800</v>
      </c>
      <c r="G115" s="5"/>
      <c r="K115" s="5"/>
    </row>
    <row r="116" spans="1:11" ht="9.75" customHeight="1">
      <c r="A116" s="2">
        <v>99999944</v>
      </c>
      <c r="B116" s="2" t="s">
        <v>947</v>
      </c>
      <c r="C116" s="452" t="s">
        <v>948</v>
      </c>
      <c r="D116" s="2" t="s">
        <v>949</v>
      </c>
      <c r="E116" s="2" t="s">
        <v>617</v>
      </c>
      <c r="F116" s="2">
        <v>1007</v>
      </c>
      <c r="K116" s="5"/>
    </row>
    <row r="117" spans="1:12" ht="9.75" customHeight="1">
      <c r="A117" s="2"/>
      <c r="B117" s="2" t="s">
        <v>1200</v>
      </c>
      <c r="C117" s="452" t="s">
        <v>1201</v>
      </c>
      <c r="D117" s="2" t="s">
        <v>1202</v>
      </c>
      <c r="E117" s="2" t="s">
        <v>1203</v>
      </c>
      <c r="F117" s="2">
        <v>1305</v>
      </c>
      <c r="G117" s="2" t="s">
        <v>807</v>
      </c>
      <c r="H117" s="2" t="s">
        <v>157</v>
      </c>
      <c r="I117" s="2" t="s">
        <v>1204</v>
      </c>
      <c r="J117" s="2" t="s">
        <v>1205</v>
      </c>
      <c r="K117" s="5" t="s">
        <v>1206</v>
      </c>
      <c r="L117" s="2" t="s">
        <v>1207</v>
      </c>
    </row>
  </sheetData>
  <printOptions/>
  <pageMargins left="0.1968503937007874" right="0.1968503937007874" top="0.3937007874015748" bottom="0.3937007874015748" header="0.31496062992125984" footer="0.31496062992125984"/>
  <pageSetup horizontalDpi="300" verticalDpi="300" orientation="landscape" paperSize="9" scale="85" r:id="rId1"/>
  <rowBreaks count="1" manualBreakCount="1">
    <brk id="53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5"/>
  <dimension ref="A1:I35"/>
  <sheetViews>
    <sheetView workbookViewId="0" topLeftCell="D1">
      <selection activeCell="F5" sqref="F5"/>
    </sheetView>
  </sheetViews>
  <sheetFormatPr defaultColWidth="11.421875" defaultRowHeight="12.75"/>
  <cols>
    <col min="1" max="1" width="16.140625" style="68" customWidth="1"/>
    <col min="2" max="2" width="13.7109375" style="68" customWidth="1"/>
    <col min="3" max="3" width="13.8515625" style="68" customWidth="1"/>
    <col min="4" max="4" width="15.57421875" style="68" customWidth="1"/>
    <col min="5" max="5" width="16.8515625" style="68" customWidth="1"/>
    <col min="6" max="6" width="13.140625" style="68" customWidth="1"/>
    <col min="7" max="7" width="17.421875" style="68" customWidth="1"/>
    <col min="8" max="8" width="14.28125" style="68" customWidth="1"/>
    <col min="9" max="9" width="12.28125" style="68" customWidth="1"/>
    <col min="10" max="12" width="13.57421875" style="68" customWidth="1"/>
    <col min="13" max="16384" width="11.421875" style="68" customWidth="1"/>
  </cols>
  <sheetData>
    <row r="1" spans="1:5" ht="39" customHeight="1">
      <c r="A1" s="95" t="s">
        <v>181</v>
      </c>
      <c r="C1" s="89"/>
      <c r="E1" s="90" t="s">
        <v>161</v>
      </c>
    </row>
    <row r="2" ht="12.75"/>
    <row r="3" spans="1:9" ht="12.75">
      <c r="A3" s="69" t="s">
        <v>572</v>
      </c>
      <c r="B3" s="69" t="s">
        <v>189</v>
      </c>
      <c r="C3" s="69" t="s">
        <v>256</v>
      </c>
      <c r="D3" s="69" t="s">
        <v>142</v>
      </c>
      <c r="E3" s="71" t="s">
        <v>179</v>
      </c>
      <c r="F3" s="69" t="s">
        <v>265</v>
      </c>
      <c r="G3" s="72" t="s">
        <v>167</v>
      </c>
      <c r="H3" s="73"/>
      <c r="I3" s="73"/>
    </row>
    <row r="4" spans="1:9" ht="12.75">
      <c r="A4" s="74" t="s">
        <v>172</v>
      </c>
      <c r="B4" s="92" t="s">
        <v>305</v>
      </c>
      <c r="C4" s="74" t="s">
        <v>162</v>
      </c>
      <c r="D4" s="74" t="s">
        <v>177</v>
      </c>
      <c r="E4" s="75" t="s">
        <v>180</v>
      </c>
      <c r="F4" s="79" t="s">
        <v>1194</v>
      </c>
      <c r="G4" s="76" t="s">
        <v>168</v>
      </c>
      <c r="H4" s="73"/>
      <c r="I4" s="73"/>
    </row>
    <row r="5" spans="1:9" ht="10.5" customHeight="1">
      <c r="A5" s="245">
        <v>926210</v>
      </c>
      <c r="B5" s="92" t="s">
        <v>266</v>
      </c>
      <c r="C5" s="77"/>
      <c r="D5" s="77"/>
      <c r="F5" s="92" t="s">
        <v>306</v>
      </c>
      <c r="G5" s="80"/>
      <c r="H5" s="73"/>
      <c r="I5" s="73"/>
    </row>
    <row r="6" spans="1:8" ht="12.75">
      <c r="A6" s="78" t="s">
        <v>573</v>
      </c>
      <c r="B6" s="79">
        <f>'Remettants mars 99'!AH61</f>
        <v>2054</v>
      </c>
      <c r="C6" s="79">
        <f>'Remettants mars 99'!I65</f>
        <v>30521</v>
      </c>
      <c r="D6" s="79">
        <f>'Remettants mars 99'!E62</f>
        <v>68722</v>
      </c>
      <c r="E6" s="73">
        <f>C6+D6</f>
        <v>99243</v>
      </c>
      <c r="F6" s="85">
        <f>'Remettants mars 99'!T63+'Remettants mars 99'!T49+'Remettants mars 99'!T50+'Remettants mars 99'!T59</f>
        <v>0</v>
      </c>
      <c r="G6" s="175">
        <f>B6+C6+D6+F6</f>
        <v>101297</v>
      </c>
      <c r="H6" s="204"/>
    </row>
    <row r="7" spans="1:6" ht="12.75">
      <c r="A7" s="77">
        <v>0</v>
      </c>
      <c r="B7" s="100" t="s">
        <v>257</v>
      </c>
      <c r="C7" s="125">
        <f>'Remettants mars 99'!E65</f>
        <v>19833</v>
      </c>
      <c r="F7" s="85"/>
    </row>
    <row r="8" spans="1:6" ht="10.5" customHeight="1">
      <c r="A8" s="68"/>
      <c r="B8" s="100" t="s">
        <v>258</v>
      </c>
      <c r="C8" s="125">
        <f>'Remettants mars 99'!D66</f>
        <v>10688</v>
      </c>
      <c r="F8" s="85"/>
    </row>
    <row r="9" ht="12.75">
      <c r="I9" s="73"/>
    </row>
    <row r="10" spans="1:9" ht="12.75">
      <c r="A10" s="68"/>
      <c r="B10" s="69" t="s">
        <v>164</v>
      </c>
      <c r="C10" s="83" t="s">
        <v>165</v>
      </c>
      <c r="D10" s="70" t="s">
        <v>165</v>
      </c>
      <c r="E10" s="93" t="s">
        <v>1090</v>
      </c>
      <c r="F10" s="69" t="s">
        <v>166</v>
      </c>
      <c r="G10" s="93" t="s">
        <v>190</v>
      </c>
      <c r="H10" s="93" t="s">
        <v>190</v>
      </c>
      <c r="I10" s="69" t="s">
        <v>167</v>
      </c>
    </row>
    <row r="11" spans="1:9" ht="14.25" customHeight="1">
      <c r="A11" s="68"/>
      <c r="B11" s="74" t="s">
        <v>191</v>
      </c>
      <c r="C11" s="91" t="s">
        <v>404</v>
      </c>
      <c r="D11" s="92"/>
      <c r="E11" s="84"/>
      <c r="F11" s="74" t="s">
        <v>170</v>
      </c>
      <c r="G11" s="91" t="s">
        <v>305</v>
      </c>
      <c r="H11" s="92" t="s">
        <v>1110</v>
      </c>
      <c r="I11" s="76" t="s">
        <v>169</v>
      </c>
    </row>
    <row r="12" spans="2:9" ht="11.25" customHeight="1">
      <c r="B12" s="79"/>
      <c r="C12" s="85"/>
      <c r="D12" s="79"/>
      <c r="E12" s="103" t="s">
        <v>190</v>
      </c>
      <c r="F12" s="79"/>
      <c r="G12" s="79"/>
      <c r="H12" s="79"/>
      <c r="I12" s="82"/>
    </row>
    <row r="13" spans="1:9" ht="12.75">
      <c r="A13" s="81"/>
      <c r="B13" s="81">
        <f>'A1500PELEVEMENT SILO S 09mars99'!M47</f>
        <v>77073</v>
      </c>
      <c r="C13" s="81">
        <f>E23</f>
        <v>7368</v>
      </c>
      <c r="D13" s="79">
        <f>'Hg&amp;PoussBtn mars 99'!B4</f>
        <v>0</v>
      </c>
      <c r="E13" s="85">
        <v>0</v>
      </c>
      <c r="F13" s="79">
        <f>'bdoVPZ RT mars  99'!S42+'bdoCH RT      99'!S42</f>
        <v>180</v>
      </c>
      <c r="G13" s="79">
        <f>'Accu&amp;Résé mars 99'!B4+'Accu&amp;Résé mars 99'!B5+'Accu&amp;Résé mars 99'!B6+'Accu&amp;Résé mars 99'!E4</f>
        <v>14716</v>
      </c>
      <c r="H13" s="79">
        <f>'Accu&amp;Résé mars 99'!B13</f>
        <v>0</v>
      </c>
      <c r="I13" s="80">
        <f>B13+C13+D13+E13+F13+F15+G13+H13</f>
        <v>99337</v>
      </c>
    </row>
    <row r="14" spans="1:8" ht="12.75">
      <c r="A14" s="514"/>
      <c r="B14" s="81"/>
      <c r="E14" s="86" t="s">
        <v>1092</v>
      </c>
      <c r="F14" s="103" t="s">
        <v>1138</v>
      </c>
      <c r="H14" s="82"/>
    </row>
    <row r="15" spans="1:5" ht="12.75">
      <c r="A15" s="398"/>
      <c r="B15" s="81"/>
      <c r="E15" s="68">
        <f>'Mixt&amp;Batt.mars 99 SKI (2)'!J26</f>
        <v>1083</v>
      </c>
    </row>
    <row r="16" spans="1:6" ht="11.25" customHeight="1">
      <c r="A16" s="398"/>
      <c r="B16" s="81"/>
      <c r="F16" s="89" t="s">
        <v>171</v>
      </c>
    </row>
    <row r="17" spans="1:9" ht="12.75">
      <c r="A17" s="398"/>
      <c r="B17" s="81"/>
      <c r="C17" s="513" t="s">
        <v>173</v>
      </c>
      <c r="D17" s="105" t="s">
        <v>553</v>
      </c>
      <c r="E17" s="94" t="s">
        <v>163</v>
      </c>
      <c r="F17" s="94" t="s">
        <v>174</v>
      </c>
      <c r="G17" s="86" t="s">
        <v>178</v>
      </c>
      <c r="H17" s="94" t="s">
        <v>175</v>
      </c>
      <c r="I17" s="86" t="s">
        <v>176</v>
      </c>
    </row>
    <row r="18" spans="1:9" ht="12.75">
      <c r="A18" s="398"/>
      <c r="C18" s="87">
        <f>A5</f>
        <v>926210</v>
      </c>
      <c r="D18" s="87">
        <v>0</v>
      </c>
      <c r="E18" s="87">
        <f>G6</f>
        <v>101297</v>
      </c>
      <c r="F18" s="87">
        <f>I13</f>
        <v>99337</v>
      </c>
      <c r="G18" s="87">
        <f>C18+D18+E18-F18</f>
        <v>928170</v>
      </c>
      <c r="H18" s="87">
        <f>'Hg&amp;PoussBtn mars 99'!$O$42</f>
        <v>917756</v>
      </c>
      <c r="I18" s="87">
        <f>H18-G18</f>
        <v>-10414</v>
      </c>
    </row>
    <row r="19" spans="1:6" ht="12.75">
      <c r="A19" s="398"/>
      <c r="B19" s="81"/>
      <c r="C19" s="81"/>
      <c r="D19" s="81" t="s">
        <v>550</v>
      </c>
      <c r="E19" s="81"/>
      <c r="F19" s="81"/>
    </row>
    <row r="20" ht="12.75">
      <c r="A20" s="81"/>
    </row>
    <row r="21" ht="13.5" thickBot="1">
      <c r="A21" s="81"/>
    </row>
    <row r="22" spans="1:9" ht="12.75">
      <c r="A22" s="115" t="s">
        <v>259</v>
      </c>
      <c r="B22" s="512" t="s">
        <v>134</v>
      </c>
      <c r="C22" s="521" t="s">
        <v>1099</v>
      </c>
      <c r="D22" s="522" t="s">
        <v>1100</v>
      </c>
      <c r="E22" s="105" t="s">
        <v>1141</v>
      </c>
      <c r="F22" s="102" t="str">
        <f>C11</f>
        <v>Résé</v>
      </c>
      <c r="G22" s="103" t="s">
        <v>182</v>
      </c>
      <c r="H22" s="104" t="s">
        <v>192</v>
      </c>
      <c r="I22" s="103"/>
    </row>
    <row r="23" spans="1:9" ht="12.75">
      <c r="A23" s="103">
        <v>0</v>
      </c>
      <c r="B23" s="558">
        <f>'A1500PELEVEMENT SILO S 09mars99'!M41</f>
        <v>0</v>
      </c>
      <c r="C23" s="111">
        <f>'A1500PELEVEMENT SILO S 09mars99'!H9</f>
        <v>53025</v>
      </c>
      <c r="D23" s="523">
        <f>'A1500PELEVEMENT SILO S 09mars99'!M32</f>
        <v>16913</v>
      </c>
      <c r="E23" s="105">
        <f>'A1500PELEVEMENT SILO S 09mars99'!I41</f>
        <v>7368</v>
      </c>
      <c r="F23" s="102">
        <v>0</v>
      </c>
      <c r="G23" s="103">
        <v>0</v>
      </c>
      <c r="H23" s="105">
        <f>SUM(B23:G23)</f>
        <v>77306</v>
      </c>
      <c r="I23" s="103" t="s">
        <v>1165</v>
      </c>
    </row>
    <row r="24" spans="3:9" ht="12.75">
      <c r="C24" s="106" t="s">
        <v>206</v>
      </c>
      <c r="D24" s="112">
        <f>'A1500PELEVEMENT SILO S 09mars99'!H9</f>
        <v>53025</v>
      </c>
      <c r="H24" s="68">
        <f>H29</f>
        <v>0</v>
      </c>
      <c r="I24" s="68" t="s">
        <v>1163</v>
      </c>
    </row>
    <row r="25" spans="3:9" ht="12.75">
      <c r="C25" s="107" t="s">
        <v>207</v>
      </c>
      <c r="D25" s="108">
        <v>0</v>
      </c>
      <c r="H25" s="68">
        <f>H23-H24</f>
        <v>77306</v>
      </c>
      <c r="I25" s="68" t="s">
        <v>1164</v>
      </c>
    </row>
    <row r="26" spans="3:9" ht="12.75">
      <c r="C26" s="114" t="s">
        <v>216</v>
      </c>
      <c r="D26" s="109">
        <f>SUM(D24:D25)</f>
        <v>53025</v>
      </c>
      <c r="H26" s="89" t="s">
        <v>193</v>
      </c>
      <c r="I26" s="68"/>
    </row>
    <row r="27" spans="1:9" ht="12.75">
      <c r="A27" s="214" t="s">
        <v>1103</v>
      </c>
      <c r="B27" s="214"/>
      <c r="C27" s="107"/>
      <c r="D27" s="108"/>
      <c r="F27" s="214" t="s">
        <v>1135</v>
      </c>
      <c r="G27" s="214"/>
      <c r="H27" s="68">
        <f>A23+H23</f>
        <v>77306</v>
      </c>
      <c r="I27" s="68"/>
    </row>
    <row r="28" spans="1:9" ht="12.75">
      <c r="A28" s="214" t="s">
        <v>1102</v>
      </c>
      <c r="B28" s="524">
        <f ca="1">TODAY()</f>
        <v>34767</v>
      </c>
      <c r="C28" s="107" t="s">
        <v>208</v>
      </c>
      <c r="D28" s="113">
        <f>'A1500PELEVEMENT SILO S 09mars99'!M41</f>
        <v>0</v>
      </c>
      <c r="E28" s="68"/>
      <c r="F28" s="502">
        <v>0</v>
      </c>
      <c r="G28" s="214" t="s">
        <v>552</v>
      </c>
      <c r="H28" s="88" t="s">
        <v>201</v>
      </c>
      <c r="I28" s="68"/>
    </row>
    <row r="29" spans="1:9" ht="12.75">
      <c r="A29" s="213">
        <v>16000</v>
      </c>
      <c r="B29" s="525" t="s">
        <v>297</v>
      </c>
      <c r="C29" s="107"/>
      <c r="D29" s="108"/>
      <c r="F29" s="526">
        <f>F28*10</f>
        <v>0</v>
      </c>
      <c r="G29" s="214" t="s">
        <v>1161</v>
      </c>
      <c r="H29" s="68">
        <v>0</v>
      </c>
      <c r="I29" s="68"/>
    </row>
    <row r="30" spans="1:9" ht="13.5" thickBot="1">
      <c r="A30" s="213">
        <v>24</v>
      </c>
      <c r="B30" s="525" t="s">
        <v>298</v>
      </c>
      <c r="C30" s="110" t="s">
        <v>209</v>
      </c>
      <c r="D30" s="174">
        <f>'A1500PELEVEMENT SILO S 09mars99'!M32</f>
        <v>16913</v>
      </c>
      <c r="E30" s="68"/>
      <c r="F30" s="527">
        <f>H31</f>
        <v>77306</v>
      </c>
      <c r="G30" s="214" t="s">
        <v>1168</v>
      </c>
      <c r="H30" s="244" t="s">
        <v>1166</v>
      </c>
      <c r="I30" s="245"/>
    </row>
    <row r="31" spans="1:9" ht="12.75">
      <c r="A31" s="243">
        <f>A29/A30</f>
        <v>666.6666666666666</v>
      </c>
      <c r="B31" s="525" t="s">
        <v>299</v>
      </c>
      <c r="C31" s="216" t="s">
        <v>261</v>
      </c>
      <c r="D31" s="68">
        <v>0</v>
      </c>
      <c r="E31" s="68"/>
      <c r="F31" s="527">
        <f>SUM(F29:F30)</f>
        <v>77306</v>
      </c>
      <c r="G31" s="214" t="s">
        <v>217</v>
      </c>
      <c r="H31" s="246">
        <f>H27-H29</f>
        <v>77306</v>
      </c>
      <c r="I31" s="247" t="s">
        <v>361</v>
      </c>
    </row>
    <row r="32" spans="1:9" ht="12.75">
      <c r="A32" s="214">
        <f>A31*10</f>
        <v>6666.666666666666</v>
      </c>
      <c r="B32" s="525" t="s">
        <v>359</v>
      </c>
      <c r="C32" s="85" t="s">
        <v>262</v>
      </c>
      <c r="D32" s="68">
        <f>'A1500PELEVEMENT SILO S 09mars99'!M31</f>
        <v>16913</v>
      </c>
      <c r="E32" s="68"/>
      <c r="F32" s="214">
        <f>F28/4</f>
        <v>0</v>
      </c>
      <c r="G32" s="214" t="s">
        <v>218</v>
      </c>
      <c r="H32" s="68"/>
      <c r="I32" s="248">
        <v>0</v>
      </c>
    </row>
    <row r="33" spans="1:9" ht="12.75">
      <c r="A33" s="214">
        <v>17000</v>
      </c>
      <c r="B33" s="525" t="s">
        <v>300</v>
      </c>
      <c r="C33" s="85"/>
      <c r="F33" s="214">
        <f>F32/5</f>
        <v>0</v>
      </c>
      <c r="G33" s="214" t="s">
        <v>219</v>
      </c>
      <c r="H33" s="68"/>
      <c r="I33" s="89" t="s">
        <v>252</v>
      </c>
    </row>
    <row r="34" spans="1:9" ht="12.75">
      <c r="A34" s="214">
        <f>A33-A32</f>
        <v>10333.333333333334</v>
      </c>
      <c r="B34" s="525" t="s">
        <v>360</v>
      </c>
      <c r="C34" s="85"/>
      <c r="F34" s="214">
        <f>F33/6</f>
        <v>0</v>
      </c>
      <c r="G34" s="214" t="s">
        <v>242</v>
      </c>
      <c r="H34" s="68"/>
      <c r="I34" s="583">
        <f>H31-I32</f>
        <v>77306</v>
      </c>
    </row>
    <row r="35" ht="12.75">
      <c r="B35" s="215"/>
    </row>
  </sheetData>
  <printOptions/>
  <pageMargins left="0.75" right="0.75" top="1" bottom="1" header="0.4921259845" footer="0.4921259845"/>
  <pageSetup horizontalDpi="300" verticalDpi="300" orientation="landscape" scale="84" r:id="rId4"/>
  <headerFooter alignWithMargins="0">
    <oddHeader>&amp;LKitenge Somwé&amp;C&amp;A&amp;R&amp;D</oddHeader>
    <oddFooter>&amp;L&amp;"Arial,Gras" Confidentiel&amp;C&amp;F&amp;RSki/&amp;"Arial,Gras"Ghu</oddFoot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81"/>
  <dimension ref="A1:O43"/>
  <sheetViews>
    <sheetView showZeros="0" workbookViewId="0" topLeftCell="A1">
      <selection activeCell="G28" sqref="G28"/>
    </sheetView>
  </sheetViews>
  <sheetFormatPr defaultColWidth="11.421875" defaultRowHeight="12.75"/>
  <cols>
    <col min="1" max="2" width="9.28125" style="0" customWidth="1"/>
    <col min="3" max="3" width="10.00390625" style="0" customWidth="1"/>
    <col min="4" max="5" width="9.28125" style="0" customWidth="1"/>
    <col min="6" max="6" width="8.7109375" style="0" customWidth="1"/>
    <col min="7" max="7" width="9.421875" style="0" customWidth="1"/>
    <col min="8" max="10" width="9.28125" style="0" customWidth="1"/>
    <col min="11" max="11" width="8.8515625" style="0" customWidth="1"/>
    <col min="12" max="13" width="9.28125" style="0" customWidth="1"/>
    <col min="14" max="14" width="11.8515625" style="0" customWidth="1"/>
    <col min="15" max="16384" width="9.28125" style="0" customWidth="1"/>
  </cols>
  <sheetData>
    <row r="1" spans="1:14" ht="35.25" customHeight="1">
      <c r="A1" s="17" t="s">
        <v>8</v>
      </c>
      <c r="B1" s="18" t="s">
        <v>9</v>
      </c>
      <c r="E1" s="19"/>
      <c r="F1" s="20" t="s">
        <v>10</v>
      </c>
      <c r="G1" s="20"/>
      <c r="H1" s="20" t="s">
        <v>11</v>
      </c>
      <c r="I1" s="21" t="s">
        <v>12</v>
      </c>
      <c r="J1" s="22"/>
      <c r="K1" s="22"/>
      <c r="L1" s="22"/>
      <c r="M1" s="23" t="s">
        <v>13</v>
      </c>
      <c r="N1" s="446">
        <f ca="1">TODAY()</f>
        <v>34767</v>
      </c>
    </row>
    <row r="2" spans="1:14" ht="6.75" customHeight="1">
      <c r="A2" s="24"/>
      <c r="B2" s="18"/>
      <c r="C2" s="124"/>
      <c r="D2" s="399"/>
      <c r="E2" s="400"/>
      <c r="F2" s="401"/>
      <c r="G2" s="401"/>
      <c r="H2" s="402"/>
      <c r="I2" s="403"/>
      <c r="J2" s="404"/>
      <c r="K2" s="401"/>
      <c r="L2" s="124"/>
      <c r="M2" s="124"/>
      <c r="N2" s="124"/>
    </row>
    <row r="3" spans="1:14" s="2" customFormat="1" ht="10.5" customHeight="1">
      <c r="A3" s="25" t="s">
        <v>14</v>
      </c>
      <c r="B3" s="25"/>
      <c r="C3" s="55"/>
      <c r="D3" s="57" t="s">
        <v>240</v>
      </c>
      <c r="E3" s="57"/>
      <c r="F3" s="55"/>
      <c r="G3" s="55"/>
      <c r="H3" s="405"/>
      <c r="I3" s="55"/>
      <c r="J3" s="599" t="s">
        <v>16</v>
      </c>
      <c r="K3" s="600"/>
      <c r="L3" s="55"/>
      <c r="M3" s="599" t="s">
        <v>17</v>
      </c>
      <c r="N3" s="600"/>
    </row>
    <row r="4" spans="1:14" s="2" customFormat="1" ht="11.25">
      <c r="A4" s="55">
        <v>2000</v>
      </c>
      <c r="B4" s="414">
        <f>'A1500PELEVEMENT SILO S 09mars99'!A45</f>
        <v>84870</v>
      </c>
      <c r="C4" s="55" t="s">
        <v>992</v>
      </c>
      <c r="D4" s="57"/>
      <c r="E4" s="58">
        <f>'A1500PELEVEMENT SILO S 09mars99'!G49</f>
        <v>84870</v>
      </c>
      <c r="F4" s="55"/>
      <c r="G4" s="55"/>
      <c r="H4" s="405"/>
      <c r="I4" s="55"/>
      <c r="J4" s="55">
        <v>0</v>
      </c>
      <c r="K4" s="65"/>
      <c r="L4" s="55"/>
      <c r="M4" s="55"/>
      <c r="N4" s="65"/>
    </row>
    <row r="5" spans="1:14" s="2" customFormat="1" ht="11.25">
      <c r="A5" s="55">
        <v>68554</v>
      </c>
      <c r="B5" s="572">
        <f>'A1500PELEVEMENT SILO S 09mars99'!D45</f>
        <v>0</v>
      </c>
      <c r="C5" s="55" t="s">
        <v>264</v>
      </c>
      <c r="D5" s="55"/>
      <c r="E5" s="58"/>
      <c r="F5" s="55"/>
      <c r="G5" s="55"/>
      <c r="H5" s="405"/>
      <c r="I5" s="55"/>
      <c r="J5" s="55"/>
      <c r="K5" s="65"/>
      <c r="L5" s="55"/>
      <c r="M5" s="55"/>
      <c r="N5" s="65"/>
    </row>
    <row r="6" spans="1:14" s="2" customFormat="1" ht="11.25">
      <c r="A6" s="55">
        <v>301056</v>
      </c>
      <c r="B6" s="65">
        <f>'A1500PELEVEMENT SILO S 09mars99'!A49</f>
        <v>0</v>
      </c>
      <c r="C6" s="55" t="s">
        <v>264</v>
      </c>
      <c r="D6" s="55"/>
      <c r="E6" s="219"/>
      <c r="F6" s="559"/>
      <c r="G6" s="55"/>
      <c r="H6" s="405"/>
      <c r="I6" s="55"/>
      <c r="J6" s="55"/>
      <c r="K6" s="65"/>
      <c r="L6" s="55"/>
      <c r="M6" s="55"/>
      <c r="N6" s="65"/>
    </row>
    <row r="7" spans="1:14" s="2" customFormat="1" ht="11.25">
      <c r="A7" s="418">
        <f>'Remettants mars 99'!C13</f>
        <v>60233</v>
      </c>
      <c r="B7" s="57">
        <f>'A1500PELEVEMENT SILO S 09mars99'!D49</f>
        <v>0</v>
      </c>
      <c r="C7" s="55" t="s">
        <v>264</v>
      </c>
      <c r="D7" s="55" t="s">
        <v>253</v>
      </c>
      <c r="E7" s="57"/>
      <c r="F7" s="54"/>
      <c r="H7" s="405"/>
      <c r="I7" s="55"/>
      <c r="J7" s="55"/>
      <c r="K7" s="65"/>
      <c r="L7" s="55"/>
      <c r="M7" s="55"/>
      <c r="N7" s="65"/>
    </row>
    <row r="8" spans="1:14" s="2" customFormat="1" ht="11.25">
      <c r="A8" s="405">
        <f>'Remettants mars 99'!C25</f>
        <v>39010</v>
      </c>
      <c r="B8" s="570">
        <f>'A1500PELEVEMENT SILO S 09mars99'!G47</f>
        <v>0</v>
      </c>
      <c r="C8" s="2"/>
      <c r="D8" s="55">
        <f>'A1500PELEVEMENT SILO S 09mars99'!N4</f>
        <v>9900</v>
      </c>
      <c r="E8" s="55"/>
      <c r="F8" s="54"/>
      <c r="I8" s="65"/>
      <c r="J8" s="55"/>
      <c r="K8" s="65"/>
      <c r="L8" s="55"/>
      <c r="M8" s="55"/>
      <c r="N8" s="65"/>
    </row>
    <row r="9" spans="1:14" s="2" customFormat="1" ht="11.25">
      <c r="A9" s="405">
        <f>'Remettants mars 99'!C37</f>
        <v>0</v>
      </c>
      <c r="B9" s="65">
        <v>0</v>
      </c>
      <c r="C9" s="55"/>
      <c r="D9" s="55" t="s">
        <v>210</v>
      </c>
      <c r="E9" s="57"/>
      <c r="F9" s="55"/>
      <c r="H9" s="405"/>
      <c r="I9" s="55"/>
      <c r="J9" s="55"/>
      <c r="K9" s="65"/>
      <c r="L9" s="55"/>
      <c r="M9" s="55"/>
      <c r="N9" s="65"/>
    </row>
    <row r="10" spans="1:14" s="2" customFormat="1" ht="11.25">
      <c r="A10" s="405">
        <f>'Remettants mars 99'!C49</f>
        <v>0</v>
      </c>
      <c r="B10" s="65">
        <v>0</v>
      </c>
      <c r="C10" s="55"/>
      <c r="D10" s="55">
        <f>'A1500PELEVEMENT SILO S 09mars99'!O23</f>
        <v>62329</v>
      </c>
      <c r="E10" s="55"/>
      <c r="F10" s="55"/>
      <c r="G10" s="55"/>
      <c r="H10" s="405"/>
      <c r="I10" s="55"/>
      <c r="J10" s="55">
        <f>SUM(J4:J9)</f>
        <v>0</v>
      </c>
      <c r="K10" s="65">
        <f>J10-K4-K5-K6-K7-K8-K9</f>
        <v>0</v>
      </c>
      <c r="L10" s="55"/>
      <c r="M10" s="55"/>
      <c r="N10" s="65"/>
    </row>
    <row r="11" spans="1:14" s="2" customFormat="1" ht="11.25">
      <c r="A11" s="571">
        <f>'Remettants mars 99'!C61</f>
        <v>0</v>
      </c>
      <c r="C11" s="55"/>
      <c r="D11" s="55" t="s">
        <v>188</v>
      </c>
      <c r="E11" s="55"/>
      <c r="F11" s="55"/>
      <c r="G11" s="55"/>
      <c r="H11" s="405"/>
      <c r="I11" s="55"/>
      <c r="J11" s="55"/>
      <c r="K11" s="55"/>
      <c r="L11" s="55"/>
      <c r="M11" s="55"/>
      <c r="N11" s="55"/>
    </row>
    <row r="12" spans="2:14" s="2" customFormat="1" ht="11.25">
      <c r="B12" s="65"/>
      <c r="C12" s="55"/>
      <c r="D12" s="55">
        <f>'A1500PELEVEMENT SILO S 09mars99'!O48</f>
        <v>313754</v>
      </c>
      <c r="E12" s="55"/>
      <c r="F12" s="57"/>
      <c r="G12" s="55"/>
      <c r="H12" s="405"/>
      <c r="I12" s="55"/>
      <c r="J12" s="55"/>
      <c r="K12" s="601" t="s">
        <v>18</v>
      </c>
      <c r="L12" s="602"/>
      <c r="M12" s="602"/>
      <c r="N12" s="603"/>
    </row>
    <row r="13" spans="2:14" s="2" customFormat="1" ht="10.5" customHeight="1">
      <c r="B13" s="67"/>
      <c r="C13" s="55"/>
      <c r="D13" s="55" t="s">
        <v>211</v>
      </c>
      <c r="E13" s="55"/>
      <c r="F13" s="66"/>
      <c r="H13" s="405"/>
      <c r="I13" s="609" t="s">
        <v>15</v>
      </c>
      <c r="J13" s="610"/>
      <c r="K13" s="604"/>
      <c r="L13" s="605"/>
      <c r="M13" s="605"/>
      <c r="N13" s="606"/>
    </row>
    <row r="14" spans="1:14" s="2" customFormat="1" ht="11.25">
      <c r="A14" s="57"/>
      <c r="B14" s="65"/>
      <c r="C14" s="55"/>
      <c r="D14" s="55">
        <f>D8+D10+D12</f>
        <v>385983</v>
      </c>
      <c r="E14" s="57" t="s">
        <v>199</v>
      </c>
      <c r="F14" s="408"/>
      <c r="G14" s="55"/>
      <c r="H14" s="405"/>
      <c r="I14" s="55">
        <v>43699</v>
      </c>
      <c r="J14" s="65">
        <f>'A1500PELEVEMENT SILO S 09mars99'!I16</f>
        <v>7368</v>
      </c>
      <c r="K14" s="409"/>
      <c r="L14" s="55">
        <f>SUM(A4:A6)</f>
        <v>371610</v>
      </c>
      <c r="M14" s="65"/>
      <c r="N14" s="55">
        <f>B16</f>
        <v>385983</v>
      </c>
    </row>
    <row r="15" spans="1:14" s="2" customFormat="1" ht="11.25">
      <c r="A15" s="57"/>
      <c r="B15" s="65"/>
      <c r="C15" s="55"/>
      <c r="D15" s="55" t="s">
        <v>231</v>
      </c>
      <c r="E15" s="57">
        <f>B16-D14</f>
        <v>0</v>
      </c>
      <c r="F15" s="408"/>
      <c r="G15" s="55"/>
      <c r="H15" s="405"/>
      <c r="I15" s="55">
        <v>0</v>
      </c>
      <c r="J15" s="65">
        <f>'A1500PELEVEMENT SILO S 09mars99'!I22</f>
        <v>0</v>
      </c>
      <c r="K15" s="55"/>
      <c r="L15" s="55">
        <f>I14</f>
        <v>43699</v>
      </c>
      <c r="M15" s="65"/>
      <c r="N15" s="55">
        <f>J20</f>
        <v>36331</v>
      </c>
    </row>
    <row r="16" spans="1:14" s="2" customFormat="1" ht="11.25">
      <c r="A16" s="55">
        <f>SUM(A4:A15)</f>
        <v>470853</v>
      </c>
      <c r="B16" s="99">
        <f>A16-B4-B5-B6-B7-B8-B9-B10-B11-B12-B13-B14-B15</f>
        <v>385983</v>
      </c>
      <c r="C16" s="55"/>
      <c r="D16" s="55"/>
      <c r="E16" s="57"/>
      <c r="F16" s="408"/>
      <c r="G16" s="55"/>
      <c r="H16" s="405"/>
      <c r="I16" s="55">
        <v>0</v>
      </c>
      <c r="J16" s="65">
        <f>'A1500PELEVEMENT SILO S 09mars99'!I28</f>
        <v>0</v>
      </c>
      <c r="K16" s="55"/>
      <c r="L16" s="55"/>
      <c r="M16" s="65"/>
      <c r="N16" s="55"/>
    </row>
    <row r="17" spans="1:14" s="2" customFormat="1" ht="11.25">
      <c r="A17" s="5"/>
      <c r="C17" s="55"/>
      <c r="D17" s="55"/>
      <c r="E17" s="55"/>
      <c r="F17" s="57"/>
      <c r="G17" s="55"/>
      <c r="H17" s="405"/>
      <c r="I17" s="55">
        <v>0</v>
      </c>
      <c r="J17" s="65">
        <f>'A1500PELEVEMENT SILO S 09mars99'!I34</f>
        <v>0</v>
      </c>
      <c r="K17" s="55"/>
      <c r="L17" s="55"/>
      <c r="M17" s="65"/>
      <c r="N17" s="55"/>
    </row>
    <row r="18" spans="1:14" s="2" customFormat="1" ht="11.25">
      <c r="A18" s="5"/>
      <c r="B18" s="57"/>
      <c r="C18" s="55"/>
      <c r="D18" s="55"/>
      <c r="E18" s="55"/>
      <c r="F18" s="55"/>
      <c r="G18" s="55"/>
      <c r="H18" s="405"/>
      <c r="I18" s="55"/>
      <c r="J18" s="65">
        <f>'A1500PELEVEMENT SILO S 09mars99'!I40</f>
        <v>0</v>
      </c>
      <c r="K18" s="55"/>
      <c r="L18" s="55"/>
      <c r="M18" s="65"/>
      <c r="N18" s="55"/>
    </row>
    <row r="19" spans="1:14" s="2" customFormat="1" ht="11.25">
      <c r="A19" s="57"/>
      <c r="B19" s="57"/>
      <c r="C19" s="55"/>
      <c r="D19" s="57"/>
      <c r="E19" s="57"/>
      <c r="F19" s="57"/>
      <c r="G19" s="55"/>
      <c r="H19" s="405"/>
      <c r="I19" s="55"/>
      <c r="J19" s="65"/>
      <c r="K19" s="55" t="s">
        <v>1181</v>
      </c>
      <c r="L19" s="55"/>
      <c r="M19" s="65"/>
      <c r="N19" s="55"/>
    </row>
    <row r="20" spans="1:14" s="2" customFormat="1" ht="12.75">
      <c r="A20" s="5"/>
      <c r="B20" s="5"/>
      <c r="C20" s="55"/>
      <c r="D20" s="57"/>
      <c r="E20" s="57"/>
      <c r="F20" s="57"/>
      <c r="G20" s="55"/>
      <c r="H20" s="405"/>
      <c r="I20" s="55">
        <f>SUM(I14:I19)</f>
        <v>43699</v>
      </c>
      <c r="J20" s="99">
        <f>I20-J14-J15-J16-J17-J18-J19</f>
        <v>36331</v>
      </c>
      <c r="K20" s="611">
        <f>SUM(L14:L18)</f>
        <v>415309</v>
      </c>
      <c r="L20" s="611"/>
      <c r="M20" s="607">
        <f>N14+N15+N16</f>
        <v>422314</v>
      </c>
      <c r="N20" s="608"/>
    </row>
    <row r="21" spans="1:14" s="2" customFormat="1" ht="12" thickBot="1">
      <c r="A21" s="28"/>
      <c r="B21" s="28"/>
      <c r="C21" s="410"/>
      <c r="D21" s="410"/>
      <c r="E21" s="410"/>
      <c r="F21" s="410"/>
      <c r="G21" s="411"/>
      <c r="H21" s="412"/>
      <c r="I21" s="410"/>
      <c r="J21" s="410"/>
      <c r="K21" s="413"/>
      <c r="L21" s="410"/>
      <c r="M21" s="410"/>
      <c r="N21" s="410"/>
    </row>
    <row r="22" s="2" customFormat="1" ht="11.25">
      <c r="C22" s="14" t="s">
        <v>160</v>
      </c>
    </row>
    <row r="23" spans="1:14" s="2" customFormat="1" ht="11.25">
      <c r="A23" s="26" t="s">
        <v>19</v>
      </c>
      <c r="B23" s="27"/>
      <c r="C23" s="575"/>
      <c r="D23" s="26" t="s">
        <v>20</v>
      </c>
      <c r="E23" s="27"/>
      <c r="G23" s="26" t="s">
        <v>1155</v>
      </c>
      <c r="H23" s="27"/>
      <c r="J23" s="29"/>
      <c r="K23" s="29"/>
      <c r="M23" s="29"/>
      <c r="N23" s="29"/>
    </row>
    <row r="24" spans="1:14" s="2" customFormat="1" ht="11.25">
      <c r="A24" s="55">
        <v>31821</v>
      </c>
      <c r="B24" s="65">
        <v>0</v>
      </c>
      <c r="C24" s="408">
        <v>0</v>
      </c>
      <c r="D24" s="55">
        <v>22482</v>
      </c>
      <c r="E24" s="65"/>
      <c r="F24" s="55"/>
      <c r="G24" s="55">
        <v>202523</v>
      </c>
      <c r="H24" s="414">
        <f>493+590</f>
        <v>1083</v>
      </c>
      <c r="I24" s="55" t="s">
        <v>1175</v>
      </c>
      <c r="J24" s="57"/>
      <c r="K24" s="57"/>
      <c r="L24" s="55"/>
      <c r="M24" s="57"/>
      <c r="N24" s="57"/>
    </row>
    <row r="25" spans="1:14" s="2" customFormat="1" ht="11.25">
      <c r="A25" s="55">
        <v>0</v>
      </c>
      <c r="B25" s="99">
        <v>0</v>
      </c>
      <c r="C25" s="54"/>
      <c r="D25" s="55">
        <f>'bdoVPZ RT mars  99'!C42</f>
        <v>0</v>
      </c>
      <c r="E25" s="65"/>
      <c r="F25" s="55" t="s">
        <v>280</v>
      </c>
      <c r="G25" s="55">
        <f>'bdoVPZ RT mars  99'!D42</f>
        <v>2459</v>
      </c>
      <c r="H25" s="65">
        <v>0</v>
      </c>
      <c r="I25" s="55" t="s">
        <v>1176</v>
      </c>
      <c r="J25" s="2" t="s">
        <v>1091</v>
      </c>
      <c r="K25" s="57"/>
      <c r="L25" s="55"/>
      <c r="M25" s="57"/>
      <c r="N25" s="57"/>
    </row>
    <row r="26" spans="1:15" s="2" customFormat="1" ht="15.75">
      <c r="A26" s="55"/>
      <c r="B26" s="65">
        <v>1075</v>
      </c>
      <c r="C26" s="441" t="s">
        <v>1180</v>
      </c>
      <c r="D26" s="55">
        <f>'bdoCH RT      99'!C42</f>
        <v>0</v>
      </c>
      <c r="E26" s="65"/>
      <c r="F26" s="55" t="s">
        <v>280</v>
      </c>
      <c r="G26" s="55">
        <f>'bdoCH RT      99'!D42</f>
        <v>0</v>
      </c>
      <c r="H26" s="65">
        <v>0</v>
      </c>
      <c r="I26" s="55" t="s">
        <v>1177</v>
      </c>
      <c r="J26" s="55">
        <f>H24+H25+H26+H27+H28</f>
        <v>1083</v>
      </c>
      <c r="K26" s="515"/>
      <c r="L26" s="593" t="s">
        <v>21</v>
      </c>
      <c r="M26" s="594"/>
      <c r="N26" s="594"/>
      <c r="O26" s="595"/>
    </row>
    <row r="27" spans="1:15" s="2" customFormat="1" ht="11.25" customHeight="1">
      <c r="A27" s="55"/>
      <c r="B27" s="65"/>
      <c r="C27" s="576">
        <v>0</v>
      </c>
      <c r="D27" s="55"/>
      <c r="E27" s="65"/>
      <c r="F27" s="2" t="s">
        <v>1193</v>
      </c>
      <c r="G27" s="405">
        <f>'Remettants mars 99'!AH18</f>
        <v>1385</v>
      </c>
      <c r="H27" s="55">
        <v>0</v>
      </c>
      <c r="I27" s="55" t="s">
        <v>1178</v>
      </c>
      <c r="J27" s="57" t="s">
        <v>1104</v>
      </c>
      <c r="K27" s="515"/>
      <c r="L27" s="596"/>
      <c r="M27" s="597"/>
      <c r="N27" s="597"/>
      <c r="O27" s="598"/>
    </row>
    <row r="28" spans="1:15" s="2" customFormat="1" ht="11.25">
      <c r="A28" s="55"/>
      <c r="B28" s="65">
        <v>0</v>
      </c>
      <c r="C28" s="57">
        <v>0</v>
      </c>
      <c r="D28" s="55"/>
      <c r="E28" s="65"/>
      <c r="F28" s="54" t="s">
        <v>546</v>
      </c>
      <c r="G28" s="55">
        <f>'Remettants mars 99'!AH16</f>
        <v>0</v>
      </c>
      <c r="H28" s="65">
        <v>0</v>
      </c>
      <c r="I28" s="55" t="s">
        <v>1179</v>
      </c>
      <c r="K28" s="55"/>
      <c r="L28" s="55"/>
      <c r="M28" s="405"/>
      <c r="O28" s="55">
        <f>B29</f>
        <v>30746</v>
      </c>
    </row>
    <row r="29" spans="1:15" s="2" customFormat="1" ht="12">
      <c r="A29" s="55">
        <f>SUM(A24:A28)</f>
        <v>31821</v>
      </c>
      <c r="B29" s="65">
        <f>A29-B24-B25-B26-B28</f>
        <v>30746</v>
      </c>
      <c r="C29" s="58">
        <v>0</v>
      </c>
      <c r="D29" s="55">
        <f>SUM(D24:D28)</f>
        <v>22482</v>
      </c>
      <c r="E29" s="65">
        <f>D29-E24-E25-E26-E27-E28</f>
        <v>22482</v>
      </c>
      <c r="F29" s="416" t="s">
        <v>547</v>
      </c>
      <c r="G29" s="2"/>
      <c r="H29" s="65">
        <v>0</v>
      </c>
      <c r="K29" s="55"/>
      <c r="L29" s="55"/>
      <c r="M29" s="405"/>
      <c r="O29" s="55">
        <f>E29</f>
        <v>22482</v>
      </c>
    </row>
    <row r="30" spans="1:15" s="2" customFormat="1" ht="12">
      <c r="A30" s="55"/>
      <c r="B30" s="55"/>
      <c r="D30" s="55"/>
      <c r="E30" s="55"/>
      <c r="F30" s="417" t="s">
        <v>548</v>
      </c>
      <c r="G30" s="55">
        <f>SUM(G24:G29)</f>
        <v>206367</v>
      </c>
      <c r="H30" s="65">
        <f>G30-H24-H25-H26-H27-H28-H29</f>
        <v>205284</v>
      </c>
      <c r="J30" s="57"/>
      <c r="K30" s="55"/>
      <c r="L30" s="55"/>
      <c r="M30" s="405"/>
      <c r="O30" s="55">
        <f>H30</f>
        <v>205284</v>
      </c>
    </row>
    <row r="31" spans="1:15" s="2" customFormat="1" ht="11.25">
      <c r="A31" s="406" t="s">
        <v>22</v>
      </c>
      <c r="B31" s="407"/>
      <c r="C31" s="577"/>
      <c r="D31" s="406" t="s">
        <v>23</v>
      </c>
      <c r="E31" s="407"/>
      <c r="F31" s="55"/>
      <c r="H31" s="40"/>
      <c r="K31" s="55"/>
      <c r="L31" s="55"/>
      <c r="M31" s="405"/>
      <c r="O31" s="55">
        <f>B38</f>
        <v>13153</v>
      </c>
    </row>
    <row r="32" spans="1:15" s="2" customFormat="1" ht="11.25">
      <c r="A32" s="55">
        <v>13153</v>
      </c>
      <c r="B32" s="65"/>
      <c r="C32" s="55"/>
      <c r="D32" s="55">
        <v>3898</v>
      </c>
      <c r="E32" s="65"/>
      <c r="F32" s="616"/>
      <c r="G32" s="617"/>
      <c r="H32" s="578"/>
      <c r="I32" s="578"/>
      <c r="K32" s="55"/>
      <c r="L32" s="55"/>
      <c r="M32" s="405"/>
      <c r="O32" s="55">
        <f>E38</f>
        <v>3898</v>
      </c>
    </row>
    <row r="33" spans="1:15" s="2" customFormat="1" ht="11.25">
      <c r="A33" s="55">
        <f>'bdoVPZ RT mars  99'!E42</f>
        <v>0</v>
      </c>
      <c r="B33" s="65"/>
      <c r="C33" s="55" t="s">
        <v>280</v>
      </c>
      <c r="D33" s="55">
        <v>0</v>
      </c>
      <c r="E33" s="65"/>
      <c r="F33" s="584"/>
      <c r="G33" s="585"/>
      <c r="H33" s="580"/>
      <c r="I33" s="581"/>
      <c r="J33" s="8"/>
      <c r="K33" s="55"/>
      <c r="L33" s="55"/>
      <c r="M33" s="405"/>
      <c r="O33" s="55"/>
    </row>
    <row r="34" spans="1:15" s="2" customFormat="1" ht="11.25">
      <c r="A34" s="55">
        <f>'bdoCH RT      99'!E42</f>
        <v>0</v>
      </c>
      <c r="B34" s="65"/>
      <c r="C34" s="55"/>
      <c r="D34" s="2">
        <f>'bdoCH RT      99'!F42</f>
        <v>0</v>
      </c>
      <c r="E34" s="65"/>
      <c r="F34" s="584"/>
      <c r="G34" s="585"/>
      <c r="H34" s="414" t="s">
        <v>1162</v>
      </c>
      <c r="I34" s="66"/>
      <c r="J34" s="55"/>
      <c r="K34" s="418"/>
      <c r="L34" s="55" t="s">
        <v>1149</v>
      </c>
      <c r="M34" s="405"/>
      <c r="O34" s="55"/>
    </row>
    <row r="35" spans="1:15" s="2" customFormat="1" ht="12.75">
      <c r="A35" s="55">
        <v>0</v>
      </c>
      <c r="B35" s="65"/>
      <c r="C35" s="55"/>
      <c r="D35" s="55"/>
      <c r="E35" s="65"/>
      <c r="F35" s="584"/>
      <c r="G35" s="585"/>
      <c r="H35" s="65" t="s">
        <v>236</v>
      </c>
      <c r="I35" s="55"/>
      <c r="J35" s="65" t="s">
        <v>232</v>
      </c>
      <c r="K35" s="419">
        <f>4600+3250</f>
        <v>7850</v>
      </c>
      <c r="L35" s="607">
        <f>SUM(A4+A5+A6+I14+A24+D24+G24+A32+D32)</f>
        <v>689186</v>
      </c>
      <c r="M35" s="615"/>
      <c r="N35" s="607">
        <f>O28+O29+O30+O31+O32</f>
        <v>275563</v>
      </c>
      <c r="O35" s="614"/>
    </row>
    <row r="36" spans="1:14" ht="12.75">
      <c r="A36" s="55">
        <v>0</v>
      </c>
      <c r="B36" s="65"/>
      <c r="C36" s="55">
        <f>C27/27</f>
        <v>0</v>
      </c>
      <c r="D36" s="55"/>
      <c r="E36" s="65"/>
      <c r="F36" s="584"/>
      <c r="G36" s="585"/>
      <c r="H36" s="586">
        <v>0</v>
      </c>
      <c r="I36" s="415" t="s">
        <v>194</v>
      </c>
      <c r="J36" s="420" t="s">
        <v>233</v>
      </c>
      <c r="K36" s="421">
        <v>500</v>
      </c>
      <c r="L36" s="124"/>
      <c r="M36" s="422"/>
      <c r="N36" s="124"/>
    </row>
    <row r="37" spans="1:14" ht="12.75">
      <c r="A37" s="55"/>
      <c r="B37" s="65"/>
      <c r="C37" s="55"/>
      <c r="D37" s="55"/>
      <c r="E37" s="65"/>
      <c r="F37" s="584"/>
      <c r="G37" s="585"/>
      <c r="H37" s="65" t="s">
        <v>1148</v>
      </c>
      <c r="I37" s="55"/>
      <c r="J37" s="65"/>
      <c r="K37" s="405"/>
      <c r="L37" s="124"/>
      <c r="M37" s="124"/>
      <c r="N37" s="124"/>
    </row>
    <row r="38" spans="1:15" ht="12.75">
      <c r="A38" s="55">
        <f>SUM(A32:A37)</f>
        <v>13153</v>
      </c>
      <c r="B38" s="65">
        <f>A38-B32-B33-B34-B35-B36-B37</f>
        <v>13153</v>
      </c>
      <c r="C38" s="55"/>
      <c r="D38" s="55">
        <f>SUM(D32:D37)</f>
        <v>3898</v>
      </c>
      <c r="E38" s="65">
        <f>D38-E32-E33-E34-E35-E36-E37</f>
        <v>3898</v>
      </c>
      <c r="F38" s="584"/>
      <c r="G38" s="585"/>
      <c r="H38" s="99">
        <v>12313</v>
      </c>
      <c r="I38" s="55" t="s">
        <v>195</v>
      </c>
      <c r="J38" s="65" t="s">
        <v>234</v>
      </c>
      <c r="K38" s="419">
        <v>2900</v>
      </c>
      <c r="L38" s="516" t="s">
        <v>24</v>
      </c>
      <c r="N38" s="612">
        <f>M20+N35</f>
        <v>697877</v>
      </c>
      <c r="O38" s="613"/>
    </row>
    <row r="39" spans="1:14" ht="12.75">
      <c r="A39" s="578"/>
      <c r="B39" s="579"/>
      <c r="C39" s="579"/>
      <c r="D39" s="579"/>
      <c r="E39" s="579"/>
      <c r="F39" s="584"/>
      <c r="G39" s="585"/>
      <c r="H39" s="65" t="s">
        <v>196</v>
      </c>
      <c r="I39" s="124"/>
      <c r="J39" s="124"/>
      <c r="K39" s="422"/>
      <c r="L39" s="124"/>
      <c r="M39" s="124"/>
      <c r="N39" s="124"/>
    </row>
    <row r="40" spans="1:14" ht="12.75">
      <c r="A40" s="579"/>
      <c r="B40" s="579"/>
      <c r="C40" s="579"/>
      <c r="D40" s="579"/>
      <c r="E40" s="579"/>
      <c r="F40" s="584"/>
      <c r="G40" s="585"/>
      <c r="H40" s="65" t="s">
        <v>197</v>
      </c>
      <c r="I40" s="124"/>
      <c r="J40" s="124"/>
      <c r="K40" s="57">
        <f>3215+2037</f>
        <v>5252</v>
      </c>
      <c r="L40" s="55" t="s">
        <v>1147</v>
      </c>
      <c r="M40" s="55"/>
      <c r="N40" s="124"/>
    </row>
    <row r="41" spans="1:14" ht="12.75">
      <c r="A41" s="579"/>
      <c r="B41" s="579"/>
      <c r="C41" s="579"/>
      <c r="D41" s="579"/>
      <c r="E41" s="578"/>
      <c r="F41" s="584"/>
      <c r="G41" s="585"/>
      <c r="H41" s="586">
        <v>3500</v>
      </c>
      <c r="I41" s="423" t="s">
        <v>198</v>
      </c>
      <c r="J41" s="424"/>
      <c r="K41" s="425">
        <f>H36+K35+K36+K38++H38+H41+K40</f>
        <v>32315</v>
      </c>
      <c r="L41" s="124"/>
      <c r="M41" s="124"/>
      <c r="N41" s="124"/>
    </row>
    <row r="42" spans="1:14" ht="12.75">
      <c r="A42" s="584"/>
      <c r="B42" s="584"/>
      <c r="C42" s="584"/>
      <c r="D42" s="585"/>
      <c r="E42" s="579"/>
      <c r="F42" s="584"/>
      <c r="G42" s="584"/>
      <c r="H42" s="559"/>
      <c r="I42" s="55"/>
      <c r="J42" s="559"/>
      <c r="K42" s="124"/>
      <c r="L42" s="124"/>
      <c r="M42" s="124"/>
      <c r="N42" s="124"/>
    </row>
    <row r="43" spans="7:10" ht="12.75">
      <c r="G43" s="2"/>
      <c r="H43" s="2"/>
      <c r="I43" s="2"/>
      <c r="J43" s="2"/>
    </row>
  </sheetData>
  <mergeCells count="11">
    <mergeCell ref="N38:O38"/>
    <mergeCell ref="N35:O35"/>
    <mergeCell ref="L35:M35"/>
    <mergeCell ref="F32:G32"/>
    <mergeCell ref="L26:O27"/>
    <mergeCell ref="J3:K3"/>
    <mergeCell ref="M3:N3"/>
    <mergeCell ref="K12:N13"/>
    <mergeCell ref="M20:N20"/>
    <mergeCell ref="I13:J13"/>
    <mergeCell ref="K20:L20"/>
  </mergeCells>
  <printOptions/>
  <pageMargins left="0.3937007874015748" right="0.3937007874015748" top="0.3937007874015748" bottom="0.3937007874015748" header="0.31496062992125984" footer="0.31496062992125984"/>
  <pageSetup horizontalDpi="300" verticalDpi="300" orientation="landscape" paperSize="9" scale="91" r:id="rId4"/>
  <headerFooter alignWithMargins="0">
    <oddFooter>&amp;C&amp;F</oddFoot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9"/>
  <dimension ref="A1:N38"/>
  <sheetViews>
    <sheetView workbookViewId="0" topLeftCell="E1">
      <selection activeCell="F7" sqref="F7"/>
    </sheetView>
  </sheetViews>
  <sheetFormatPr defaultColWidth="11.421875" defaultRowHeight="12.75"/>
  <cols>
    <col min="1" max="8" width="9.28125" style="124" customWidth="1"/>
    <col min="9" max="9" width="8.421875" style="124" customWidth="1"/>
    <col min="10" max="12" width="9.28125" style="124" customWidth="1"/>
    <col min="13" max="13" width="9.8515625" style="124" customWidth="1"/>
    <col min="14" max="14" width="12.00390625" style="124" customWidth="1"/>
    <col min="15" max="16384" width="9.28125" style="124" customWidth="1"/>
  </cols>
  <sheetData>
    <row r="1" spans="1:14" ht="35.25" customHeight="1">
      <c r="A1" s="427" t="s">
        <v>48</v>
      </c>
      <c r="B1" s="428" t="s">
        <v>9</v>
      </c>
      <c r="E1" s="429"/>
      <c r="F1" s="401" t="s">
        <v>10</v>
      </c>
      <c r="G1" s="401"/>
      <c r="H1" s="401" t="s">
        <v>49</v>
      </c>
      <c r="I1" s="403" t="s">
        <v>50</v>
      </c>
      <c r="J1" s="430"/>
      <c r="K1" s="430"/>
      <c r="L1" s="430"/>
      <c r="M1" s="431" t="s">
        <v>13</v>
      </c>
      <c r="N1" s="445">
        <f ca="1">TODAY()</f>
        <v>34767</v>
      </c>
    </row>
    <row r="2" spans="1:11" ht="6.75" customHeight="1">
      <c r="A2" s="432"/>
      <c r="B2" s="428"/>
      <c r="E2" s="429"/>
      <c r="F2" s="401"/>
      <c r="G2" s="401"/>
      <c r="H2" s="401"/>
      <c r="I2" s="403"/>
      <c r="J2" s="404"/>
      <c r="K2" s="401"/>
    </row>
    <row r="3" spans="1:14" s="55" customFormat="1" ht="11.25">
      <c r="A3" s="599" t="s">
        <v>51</v>
      </c>
      <c r="B3" s="600"/>
      <c r="C3" s="55" t="s">
        <v>362</v>
      </c>
      <c r="D3" s="599" t="s">
        <v>52</v>
      </c>
      <c r="E3" s="626"/>
      <c r="F3" s="55" t="s">
        <v>363</v>
      </c>
      <c r="G3" s="599" t="s">
        <v>53</v>
      </c>
      <c r="H3" s="626"/>
      <c r="J3" s="627" t="s">
        <v>54</v>
      </c>
      <c r="K3" s="628"/>
      <c r="M3" s="599" t="s">
        <v>55</v>
      </c>
      <c r="N3" s="600"/>
    </row>
    <row r="4" spans="1:14" s="55" customFormat="1" ht="11.25">
      <c r="A4" s="55">
        <v>9453</v>
      </c>
      <c r="B4" s="65">
        <v>0</v>
      </c>
      <c r="C4" s="55">
        <v>880</v>
      </c>
      <c r="D4" s="55">
        <v>25059</v>
      </c>
      <c r="E4" s="65">
        <v>14716</v>
      </c>
      <c r="F4" s="55">
        <v>1132</v>
      </c>
      <c r="G4" s="55">
        <v>8634</v>
      </c>
      <c r="H4" s="65">
        <v>8256</v>
      </c>
      <c r="I4" s="55"/>
      <c r="J4" s="55">
        <f>A4</f>
        <v>9453</v>
      </c>
      <c r="K4" s="65">
        <f>B4+B5</f>
        <v>0</v>
      </c>
      <c r="L4" s="55"/>
      <c r="M4" s="55">
        <v>14481</v>
      </c>
      <c r="N4" s="65"/>
    </row>
    <row r="5" spans="1:14" s="55" customFormat="1" ht="11.25">
      <c r="A5" s="55">
        <f>'bdoVPZ RT mars  99'!I42</f>
        <v>840</v>
      </c>
      <c r="B5" s="65">
        <v>0</v>
      </c>
      <c r="C5" s="55"/>
      <c r="D5" s="55">
        <f>'bdoVPZ RT mars  99'!J42</f>
        <v>1130</v>
      </c>
      <c r="E5" s="65"/>
      <c r="F5" s="55" t="s">
        <v>280</v>
      </c>
      <c r="G5" s="55">
        <f>'bdoVPZ RT mars  99'!K42</f>
        <v>72</v>
      </c>
      <c r="H5" s="65"/>
      <c r="J5" s="55">
        <f>D4</f>
        <v>25059</v>
      </c>
      <c r="K5" s="65">
        <f>B6+B7</f>
        <v>0</v>
      </c>
      <c r="L5" s="55" t="s">
        <v>280</v>
      </c>
      <c r="M5" s="55">
        <f>'bdoVPZ RT mars  99'!G42</f>
        <v>200</v>
      </c>
      <c r="N5" s="65"/>
    </row>
    <row r="6" spans="1:14" s="55" customFormat="1" ht="11.25">
      <c r="A6" s="55">
        <f>'bdoCH RT      99'!I42</f>
        <v>0</v>
      </c>
      <c r="B6" s="65">
        <v>0</v>
      </c>
      <c r="C6" s="127"/>
      <c r="D6" s="55">
        <f>'bdoCH RT      99'!J42</f>
        <v>0</v>
      </c>
      <c r="E6" s="65"/>
      <c r="F6" s="55" t="s">
        <v>152</v>
      </c>
      <c r="G6" s="55">
        <f>'Remettants mars 99'!AH14</f>
        <v>669</v>
      </c>
      <c r="H6" s="65"/>
      <c r="J6" s="55">
        <f>G4</f>
        <v>8634</v>
      </c>
      <c r="K6" s="55">
        <f>B8+B9</f>
        <v>0</v>
      </c>
      <c r="L6" s="409"/>
      <c r="M6" s="55">
        <f>'bdoCH RT      99'!G42</f>
        <v>0</v>
      </c>
      <c r="N6" s="65"/>
    </row>
    <row r="7" spans="2:14" s="55" customFormat="1" ht="11.25">
      <c r="B7" s="65"/>
      <c r="D7" s="55">
        <f>'Remettants mars 99'!AH42</f>
        <v>0</v>
      </c>
      <c r="E7" s="65"/>
      <c r="H7" s="65"/>
      <c r="I7" s="434" t="s">
        <v>56</v>
      </c>
      <c r="J7" s="55">
        <f>A5+A6+A7+A8+A9</f>
        <v>840</v>
      </c>
      <c r="K7" s="65">
        <f>E4+E5+E6</f>
        <v>14716</v>
      </c>
      <c r="N7" s="65"/>
    </row>
    <row r="8" spans="2:14" s="55" customFormat="1" ht="11.25">
      <c r="B8" s="65"/>
      <c r="E8" s="65"/>
      <c r="H8" s="65"/>
      <c r="I8" s="434" t="s">
        <v>57</v>
      </c>
      <c r="J8" s="55">
        <f>D5+D6+D7+D8+D9</f>
        <v>1130</v>
      </c>
      <c r="K8" s="65">
        <f>E7+E8+E9</f>
        <v>0</v>
      </c>
      <c r="N8" s="65"/>
    </row>
    <row r="9" spans="2:14" s="55" customFormat="1" ht="11.25">
      <c r="B9" s="65"/>
      <c r="C9" s="55" t="s">
        <v>255</v>
      </c>
      <c r="E9" s="65"/>
      <c r="F9" s="55" t="s">
        <v>255</v>
      </c>
      <c r="H9" s="65"/>
      <c r="I9" s="434" t="s">
        <v>58</v>
      </c>
      <c r="J9" s="55">
        <f>G5+G6+G7+G8+G9</f>
        <v>741</v>
      </c>
      <c r="K9" s="65">
        <f>H4+H5+H6+H7+H8+H9</f>
        <v>8256</v>
      </c>
      <c r="L9" s="55"/>
      <c r="M9" s="55">
        <f>SUM(M4:M8)</f>
        <v>14681</v>
      </c>
      <c r="N9" s="65">
        <f>M9-N4-N5--N6-N7-N8</f>
        <v>14681</v>
      </c>
    </row>
    <row r="10" spans="1:11" s="55" customFormat="1" ht="11.25">
      <c r="A10" s="55">
        <f>SUM(A4:A9)</f>
        <v>10293</v>
      </c>
      <c r="B10" s="65">
        <f>A10-B4-B5-B6-B7-B8-B9</f>
        <v>10293</v>
      </c>
      <c r="C10" s="57">
        <f>B10/C4</f>
        <v>11.69659090909091</v>
      </c>
      <c r="D10" s="55">
        <f>SUM(D4:D9)</f>
        <v>26189</v>
      </c>
      <c r="E10" s="65">
        <f>D10-E4-E5-E6-E7-E8-E9</f>
        <v>11473</v>
      </c>
      <c r="F10" s="57">
        <f>E10/F4</f>
        <v>10.135159010600706</v>
      </c>
      <c r="G10" s="55">
        <f>SUM(G4:G9)</f>
        <v>9375</v>
      </c>
      <c r="H10" s="65">
        <f>G10-H4-H5-H6-H7-H8-H9</f>
        <v>1119</v>
      </c>
      <c r="I10" s="55"/>
      <c r="J10" s="55">
        <f>SUM(J4:J9)</f>
        <v>45857</v>
      </c>
      <c r="K10" s="65">
        <f>J10-K4-K5-K6-K7-K8-K9</f>
        <v>22885</v>
      </c>
    </row>
    <row r="11" spans="11:14" s="55" customFormat="1" ht="11.25" customHeight="1">
      <c r="K11" s="601" t="s">
        <v>59</v>
      </c>
      <c r="L11" s="590"/>
      <c r="M11" s="590"/>
      <c r="N11" s="603"/>
    </row>
    <row r="12" spans="1:14" s="55" customFormat="1" ht="12.75" customHeight="1">
      <c r="A12" s="406" t="s">
        <v>60</v>
      </c>
      <c r="B12" s="407"/>
      <c r="C12" s="54" t="s">
        <v>1109</v>
      </c>
      <c r="D12" s="599" t="s">
        <v>61</v>
      </c>
      <c r="E12" s="626"/>
      <c r="G12" s="406" t="s">
        <v>62</v>
      </c>
      <c r="H12" s="433"/>
      <c r="K12" s="618"/>
      <c r="L12" s="619"/>
      <c r="M12" s="619"/>
      <c r="N12" s="606"/>
    </row>
    <row r="13" spans="1:14" s="55" customFormat="1" ht="11.25" customHeight="1">
      <c r="A13" s="55">
        <v>14613</v>
      </c>
      <c r="B13" s="65">
        <v>0</v>
      </c>
      <c r="C13" s="54">
        <v>0</v>
      </c>
      <c r="D13" s="55">
        <v>638</v>
      </c>
      <c r="E13" s="65">
        <v>0</v>
      </c>
      <c r="F13" s="55"/>
      <c r="G13" s="55">
        <v>649</v>
      </c>
      <c r="H13" s="65"/>
      <c r="M13" s="65"/>
      <c r="N13" s="55">
        <f>K10</f>
        <v>22885</v>
      </c>
    </row>
    <row r="14" spans="1:14" s="55" customFormat="1" ht="11.25">
      <c r="A14" s="55">
        <f>'bdoVPZ RT mars  99'!L42</f>
        <v>1056</v>
      </c>
      <c r="B14" s="65"/>
      <c r="C14" s="55" t="s">
        <v>280</v>
      </c>
      <c r="D14" s="55">
        <f>'bdoVPZ RT mars  99'!R42</f>
        <v>240</v>
      </c>
      <c r="E14" s="65"/>
      <c r="F14" s="55" t="s">
        <v>280</v>
      </c>
      <c r="G14" s="55">
        <f>'bdoVPZ RT mars  99'!H42</f>
        <v>0</v>
      </c>
      <c r="H14" s="65"/>
      <c r="J14" s="66">
        <f>450-378</f>
        <v>72</v>
      </c>
      <c r="M14" s="65"/>
      <c r="N14" s="55">
        <f>N9</f>
        <v>14681</v>
      </c>
    </row>
    <row r="15" spans="1:14" s="55" customFormat="1" ht="11.25">
      <c r="A15" s="55">
        <f>'bdoCH RT      99'!L42</f>
        <v>0</v>
      </c>
      <c r="B15" s="65"/>
      <c r="C15" s="127"/>
      <c r="D15" s="55">
        <f>'bdoCH RT      99'!R42</f>
        <v>0</v>
      </c>
      <c r="E15" s="65"/>
      <c r="G15" s="55">
        <f>'bdoCH RT      99'!H42</f>
        <v>0</v>
      </c>
      <c r="H15" s="65"/>
      <c r="J15" s="57"/>
      <c r="M15" s="65"/>
      <c r="N15" s="55">
        <f>B18</f>
        <v>15669</v>
      </c>
    </row>
    <row r="16" spans="1:14" s="55" customFormat="1" ht="11.25">
      <c r="A16" s="55">
        <f>'Remettants mars 99'!AH26</f>
        <v>0</v>
      </c>
      <c r="B16" s="65"/>
      <c r="E16" s="65"/>
      <c r="F16" s="55" t="s">
        <v>238</v>
      </c>
      <c r="H16" s="65"/>
      <c r="J16" s="57"/>
      <c r="M16" s="65"/>
      <c r="N16" s="55">
        <f>E18</f>
        <v>878</v>
      </c>
    </row>
    <row r="17" spans="2:14" s="55" customFormat="1" ht="11.25">
      <c r="B17" s="65"/>
      <c r="E17" s="65"/>
      <c r="F17" s="55" t="s">
        <v>241</v>
      </c>
      <c r="H17" s="65"/>
      <c r="J17" s="57"/>
      <c r="K17" s="435"/>
      <c r="M17" s="65"/>
      <c r="N17" s="55">
        <f>H18</f>
        <v>649</v>
      </c>
    </row>
    <row r="18" spans="1:14" s="55" customFormat="1" ht="11.25">
      <c r="A18" s="55">
        <f>SUM(A13:A17)</f>
        <v>15669</v>
      </c>
      <c r="B18" s="65">
        <f>A18-B13-B14-B15-B16-B17</f>
        <v>15669</v>
      </c>
      <c r="C18" s="55"/>
      <c r="D18" s="55">
        <f>SUM(D13:D17)</f>
        <v>878</v>
      </c>
      <c r="E18" s="65">
        <f>D18-E13-E14--E15-E16-E17</f>
        <v>878</v>
      </c>
      <c r="F18" s="55"/>
      <c r="G18" s="55">
        <f>SUM(G13:G17)</f>
        <v>649</v>
      </c>
      <c r="H18" s="65">
        <f>G18-H13-H14--H15-H16-H17</f>
        <v>649</v>
      </c>
      <c r="J18" s="57"/>
      <c r="M18" s="587">
        <f>N13+N14+N15+N16+N17</f>
        <v>54762</v>
      </c>
      <c r="N18" s="608"/>
    </row>
    <row r="19" spans="1:14" s="55" customFormat="1" ht="12" thickBot="1">
      <c r="A19" s="410"/>
      <c r="B19" s="410"/>
      <c r="C19" s="410"/>
      <c r="D19" s="410"/>
      <c r="E19" s="410"/>
      <c r="G19" s="410"/>
      <c r="H19" s="410"/>
      <c r="I19" s="410"/>
      <c r="J19" s="410"/>
      <c r="K19" s="410"/>
      <c r="L19" s="410"/>
      <c r="M19" s="410"/>
      <c r="N19" s="410"/>
    </row>
    <row r="20" s="55" customFormat="1" ht="11.25">
      <c r="M20" s="57"/>
    </row>
    <row r="21" spans="1:14" s="55" customFormat="1" ht="12.75">
      <c r="A21" s="625" t="s">
        <v>63</v>
      </c>
      <c r="B21" s="626"/>
      <c r="D21" s="625" t="s">
        <v>64</v>
      </c>
      <c r="E21" s="626"/>
      <c r="G21" s="625" t="s">
        <v>65</v>
      </c>
      <c r="H21" s="626"/>
      <c r="J21" s="625" t="s">
        <v>66</v>
      </c>
      <c r="K21" s="626"/>
      <c r="M21" s="406"/>
      <c r="N21" s="407"/>
    </row>
    <row r="22" spans="1:14" s="55" customFormat="1" ht="11.25">
      <c r="A22" s="55">
        <v>0</v>
      </c>
      <c r="B22" s="65"/>
      <c r="D22" s="55">
        <v>0</v>
      </c>
      <c r="E22" s="65">
        <v>0</v>
      </c>
      <c r="F22" s="55"/>
      <c r="G22" s="55">
        <v>0</v>
      </c>
      <c r="H22" s="65"/>
      <c r="J22" s="55">
        <v>0</v>
      </c>
      <c r="K22" s="65">
        <v>0</v>
      </c>
      <c r="L22" s="55" t="s">
        <v>237</v>
      </c>
      <c r="N22" s="65"/>
    </row>
    <row r="23" spans="2:14" s="55" customFormat="1" ht="11.25">
      <c r="B23" s="65"/>
      <c r="E23" s="65"/>
      <c r="H23" s="65"/>
      <c r="K23" s="65"/>
      <c r="N23" s="65"/>
    </row>
    <row r="24" spans="2:14" s="55" customFormat="1" ht="11.25">
      <c r="B24" s="65"/>
      <c r="E24" s="65"/>
      <c r="H24" s="65"/>
      <c r="K24" s="65"/>
      <c r="N24" s="65"/>
    </row>
    <row r="25" spans="2:14" s="55" customFormat="1" ht="11.25">
      <c r="B25" s="65"/>
      <c r="E25" s="65"/>
      <c r="H25" s="65"/>
      <c r="K25" s="65"/>
      <c r="N25" s="65"/>
    </row>
    <row r="26" spans="2:14" s="55" customFormat="1" ht="11.25">
      <c r="B26" s="65"/>
      <c r="E26" s="65"/>
      <c r="H26" s="65"/>
      <c r="J26" s="55">
        <f>SUM(J22:J25)</f>
        <v>0</v>
      </c>
      <c r="K26" s="65">
        <f>J26-K22-K23-K24-K25</f>
        <v>0</v>
      </c>
      <c r="N26" s="65"/>
    </row>
    <row r="27" spans="2:14" s="55" customFormat="1" ht="11.25">
      <c r="B27" s="65"/>
      <c r="E27" s="65"/>
      <c r="H27" s="65"/>
      <c r="K27" s="415"/>
      <c r="N27" s="65"/>
    </row>
    <row r="28" spans="1:14" s="55" customFormat="1" ht="11.25">
      <c r="A28" s="55">
        <f>SUM(A22:A27)</f>
        <v>0</v>
      </c>
      <c r="B28" s="65">
        <f>A28-B22-B23-B24-B25-B26-B27</f>
        <v>0</v>
      </c>
      <c r="C28" s="55"/>
      <c r="D28" s="55">
        <f>SUM(D22:D27)</f>
        <v>0</v>
      </c>
      <c r="E28" s="65">
        <f>D28-E22-E23-E24-E25-E26-E27</f>
        <v>0</v>
      </c>
      <c r="F28" s="55"/>
      <c r="G28" s="55">
        <f>SUM(G22:G27)</f>
        <v>0</v>
      </c>
      <c r="H28" s="65">
        <f>G28-H22-H23-H24-H25-H26-H27</f>
        <v>0</v>
      </c>
      <c r="K28" s="589" t="s">
        <v>67</v>
      </c>
      <c r="L28" s="590"/>
      <c r="M28" s="590"/>
      <c r="N28" s="603"/>
    </row>
    <row r="29" spans="11:14" s="55" customFormat="1" ht="11.25">
      <c r="K29" s="618"/>
      <c r="L29" s="619"/>
      <c r="M29" s="619"/>
      <c r="N29" s="606"/>
    </row>
    <row r="30" spans="13:14" s="55" customFormat="1" ht="11.25">
      <c r="M30" s="65"/>
      <c r="N30" s="55">
        <f>B28</f>
        <v>0</v>
      </c>
    </row>
    <row r="31" spans="1:14" s="55" customFormat="1" ht="12.75">
      <c r="A31" s="620" t="s">
        <v>68</v>
      </c>
      <c r="B31" s="621"/>
      <c r="D31" s="622" t="s">
        <v>69</v>
      </c>
      <c r="E31" s="623"/>
      <c r="G31" s="620" t="s">
        <v>70</v>
      </c>
      <c r="H31" s="621"/>
      <c r="J31" s="66"/>
      <c r="M31" s="65"/>
      <c r="N31" s="55">
        <f>E28</f>
        <v>0</v>
      </c>
    </row>
    <row r="32" spans="1:14" s="55" customFormat="1" ht="11.25">
      <c r="A32" s="55">
        <v>0</v>
      </c>
      <c r="B32" s="65"/>
      <c r="D32" s="55">
        <v>35973</v>
      </c>
      <c r="E32" s="549">
        <v>0</v>
      </c>
      <c r="F32" s="55">
        <v>0</v>
      </c>
      <c r="G32" s="55">
        <v>0</v>
      </c>
      <c r="H32" s="65"/>
      <c r="J32" s="57"/>
      <c r="M32" s="65"/>
      <c r="N32" s="55">
        <f>H28</f>
        <v>0</v>
      </c>
    </row>
    <row r="33" spans="2:14" s="55" customFormat="1" ht="11.25">
      <c r="B33" s="65"/>
      <c r="D33" s="55">
        <f>'Remettants mars 99'!AH17</f>
        <v>0</v>
      </c>
      <c r="E33" s="549">
        <v>0</v>
      </c>
      <c r="F33" s="57"/>
      <c r="H33" s="65"/>
      <c r="J33" s="57"/>
      <c r="M33" s="65"/>
      <c r="N33" s="55">
        <f>K26</f>
        <v>0</v>
      </c>
    </row>
    <row r="34" spans="2:14" s="55" customFormat="1" ht="11.25">
      <c r="B34" s="65"/>
      <c r="D34" s="55">
        <v>0</v>
      </c>
      <c r="E34" s="65"/>
      <c r="H34" s="65"/>
      <c r="J34" s="57"/>
      <c r="M34" s="65"/>
      <c r="N34" s="55">
        <f>E38</f>
        <v>35973</v>
      </c>
    </row>
    <row r="35" spans="2:13" s="55" customFormat="1" ht="11.25">
      <c r="B35" s="65"/>
      <c r="E35" s="65"/>
      <c r="H35" s="65"/>
      <c r="J35" s="57"/>
      <c r="K35" s="55" t="s">
        <v>1153</v>
      </c>
      <c r="M35" s="65"/>
    </row>
    <row r="36" spans="1:14" ht="12.75">
      <c r="A36" s="55"/>
      <c r="B36" s="65"/>
      <c r="C36" s="55"/>
      <c r="D36" s="55"/>
      <c r="E36" s="65"/>
      <c r="F36" s="55"/>
      <c r="G36" s="55"/>
      <c r="H36" s="65"/>
      <c r="I36" s="55"/>
      <c r="J36" s="57"/>
      <c r="K36" s="608">
        <f>A4+D4+G4+M4+A13+D13+G13+A22+D22+G22+J22+A32+D32+G32</f>
        <v>109500</v>
      </c>
      <c r="L36" s="624"/>
      <c r="M36" s="587">
        <f>N30+N31+N32+N33+N34</f>
        <v>35973</v>
      </c>
      <c r="N36" s="608"/>
    </row>
    <row r="37" spans="1:14" ht="12.75">
      <c r="A37" s="55"/>
      <c r="B37" s="65"/>
      <c r="C37" s="55"/>
      <c r="D37" s="55"/>
      <c r="E37" s="65"/>
      <c r="F37" s="57"/>
      <c r="G37" s="55"/>
      <c r="H37" s="65"/>
      <c r="I37" s="55"/>
      <c r="J37" s="57"/>
      <c r="K37" s="57"/>
      <c r="L37" s="57"/>
      <c r="M37" s="57"/>
      <c r="N37" s="57"/>
    </row>
    <row r="38" spans="1:14" ht="12.75">
      <c r="A38" s="55"/>
      <c r="B38" s="65"/>
      <c r="C38" s="55"/>
      <c r="D38" s="55">
        <f>D32+D33+D34+D35+D36+D37</f>
        <v>35973</v>
      </c>
      <c r="E38" s="65">
        <f>D38-E32-E33-E34-E35-E36-E37</f>
        <v>35973</v>
      </c>
      <c r="F38" s="57"/>
      <c r="G38" s="55"/>
      <c r="H38" s="65"/>
      <c r="I38" s="55"/>
      <c r="J38" s="57"/>
      <c r="K38" s="426" t="s">
        <v>24</v>
      </c>
      <c r="L38" s="436"/>
      <c r="M38" s="588">
        <f>M18+M36</f>
        <v>90735</v>
      </c>
      <c r="N38" s="610"/>
    </row>
  </sheetData>
  <mergeCells count="19">
    <mergeCell ref="A3:B3"/>
    <mergeCell ref="D3:E3"/>
    <mergeCell ref="G3:H3"/>
    <mergeCell ref="J3:K3"/>
    <mergeCell ref="M3:N3"/>
    <mergeCell ref="K11:N12"/>
    <mergeCell ref="D12:E12"/>
    <mergeCell ref="M18:N18"/>
    <mergeCell ref="A21:B21"/>
    <mergeCell ref="D21:E21"/>
    <mergeCell ref="G21:H21"/>
    <mergeCell ref="J21:K21"/>
    <mergeCell ref="M36:N36"/>
    <mergeCell ref="M38:N38"/>
    <mergeCell ref="K28:N29"/>
    <mergeCell ref="A31:B31"/>
    <mergeCell ref="D31:E31"/>
    <mergeCell ref="G31:H31"/>
    <mergeCell ref="K36:L36"/>
  </mergeCells>
  <printOptions/>
  <pageMargins left="0.3937007874015748" right="0.3937007874015748" top="0.3937007874015748" bottom="0.3937007874015748" header="0.31496062992125984" footer="0.31496062992125984"/>
  <pageSetup horizontalDpi="300" verticalDpi="300" orientation="landscape" paperSize="9" scale="90" r:id="rId4"/>
  <headerFooter alignWithMargins="0">
    <oddFooter>&amp;C&amp;F</oddFooter>
  </headerFooter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10"/>
  <dimension ref="A1:Q43"/>
  <sheetViews>
    <sheetView workbookViewId="0" topLeftCell="G18">
      <selection activeCell="H32" sqref="H32"/>
    </sheetView>
  </sheetViews>
  <sheetFormatPr defaultColWidth="11.421875" defaultRowHeight="12.75"/>
  <cols>
    <col min="1" max="8" width="9.28125" style="124" customWidth="1"/>
    <col min="9" max="9" width="8.57421875" style="124" customWidth="1"/>
    <col min="10" max="10" width="9.28125" style="124" customWidth="1"/>
    <col min="11" max="11" width="11.7109375" style="124" customWidth="1"/>
    <col min="12" max="13" width="9.28125" style="124" customWidth="1"/>
    <col min="14" max="14" width="11.8515625" style="124" customWidth="1"/>
    <col min="15" max="15" width="12.28125" style="124" customWidth="1"/>
    <col min="16" max="16384" width="9.28125" style="124" customWidth="1"/>
  </cols>
  <sheetData>
    <row r="1" spans="1:14" ht="35.25" customHeight="1">
      <c r="A1" s="427" t="s">
        <v>8</v>
      </c>
      <c r="B1" s="428" t="s">
        <v>9</v>
      </c>
      <c r="E1" s="429"/>
      <c r="F1" s="401" t="s">
        <v>10</v>
      </c>
      <c r="G1" s="401"/>
      <c r="H1" s="401" t="s">
        <v>25</v>
      </c>
      <c r="I1" s="403" t="s">
        <v>26</v>
      </c>
      <c r="J1" s="430"/>
      <c r="K1" s="430"/>
      <c r="L1" s="430"/>
      <c r="M1" s="437" t="s">
        <v>13</v>
      </c>
      <c r="N1" s="445">
        <f ca="1">TODAY()</f>
        <v>34767</v>
      </c>
    </row>
    <row r="2" spans="1:11" ht="6.75" customHeight="1">
      <c r="A2" s="432"/>
      <c r="B2" s="428"/>
      <c r="E2" s="429"/>
      <c r="F2" s="401"/>
      <c r="G2" s="401"/>
      <c r="H2" s="401"/>
      <c r="I2" s="403"/>
      <c r="J2" s="404"/>
      <c r="K2" s="401"/>
    </row>
    <row r="3" spans="1:14" s="55" customFormat="1" ht="12.75">
      <c r="A3" s="620" t="s">
        <v>27</v>
      </c>
      <c r="B3" s="621"/>
      <c r="D3" s="620" t="s">
        <v>28</v>
      </c>
      <c r="E3" s="621"/>
      <c r="G3" s="620" t="s">
        <v>29</v>
      </c>
      <c r="H3" s="621"/>
      <c r="J3" s="599" t="s">
        <v>30</v>
      </c>
      <c r="K3" s="600"/>
      <c r="M3" s="620" t="s">
        <v>31</v>
      </c>
      <c r="N3" s="621"/>
    </row>
    <row r="4" spans="1:14" s="55" customFormat="1" ht="11.25">
      <c r="A4" s="55">
        <v>567</v>
      </c>
      <c r="B4" s="65">
        <v>0</v>
      </c>
      <c r="C4" s="55"/>
      <c r="D4" s="55">
        <v>2896</v>
      </c>
      <c r="E4" s="65"/>
      <c r="G4" s="55">
        <v>158</v>
      </c>
      <c r="H4" s="65"/>
      <c r="J4" s="55">
        <v>1901</v>
      </c>
      <c r="K4" s="65"/>
      <c r="M4" s="55">
        <v>967</v>
      </c>
      <c r="N4" s="65"/>
    </row>
    <row r="5" spans="2:14" s="55" customFormat="1" ht="11.25">
      <c r="B5" s="65"/>
      <c r="C5" s="55" t="s">
        <v>280</v>
      </c>
      <c r="D5" s="55">
        <f>'bdoVPZ RT mars  99'!Q42</f>
        <v>0</v>
      </c>
      <c r="E5" s="65"/>
      <c r="G5" s="55">
        <v>0</v>
      </c>
      <c r="H5" s="65"/>
      <c r="K5" s="65"/>
      <c r="L5" s="409" t="s">
        <v>549</v>
      </c>
      <c r="M5" s="55">
        <v>0</v>
      </c>
      <c r="N5" s="65"/>
    </row>
    <row r="6" spans="2:14" s="55" customFormat="1" ht="11.25">
      <c r="B6" s="65"/>
      <c r="D6" s="55">
        <f>'Remettants mars 99'!T36</f>
        <v>0</v>
      </c>
      <c r="E6" s="65"/>
      <c r="H6" s="65"/>
      <c r="K6" s="65"/>
      <c r="N6" s="65"/>
    </row>
    <row r="7" spans="2:14" s="55" customFormat="1" ht="11.25">
      <c r="B7" s="65"/>
      <c r="E7" s="65"/>
      <c r="H7" s="65"/>
      <c r="K7" s="65"/>
      <c r="N7" s="65"/>
    </row>
    <row r="8" spans="2:14" s="55" customFormat="1" ht="11.25">
      <c r="B8" s="65"/>
      <c r="E8" s="65"/>
      <c r="H8" s="65"/>
      <c r="K8" s="65"/>
      <c r="N8" s="65"/>
    </row>
    <row r="9" spans="2:14" s="55" customFormat="1" ht="11.25">
      <c r="B9" s="65"/>
      <c r="E9" s="65"/>
      <c r="H9" s="65"/>
      <c r="J9" s="55">
        <f>SUM(J4:J8)</f>
        <v>1901</v>
      </c>
      <c r="K9" s="65">
        <f>J9-K4-K5-K6-K7-K8</f>
        <v>1901</v>
      </c>
      <c r="L9" s="55"/>
      <c r="M9" s="55">
        <f>SUM(M4:M8)</f>
        <v>967</v>
      </c>
      <c r="N9" s="65">
        <f>M9-N4-N5-N6-N7-N8</f>
        <v>967</v>
      </c>
    </row>
    <row r="10" spans="1:14" s="55" customFormat="1" ht="11.25">
      <c r="A10" s="55">
        <f>SUM(A4:A9)</f>
        <v>567</v>
      </c>
      <c r="B10" s="65">
        <f>A10-B4-B5-B6-B7-B8-B9</f>
        <v>567</v>
      </c>
      <c r="C10" s="55"/>
      <c r="D10" s="55">
        <f>SUM(D4:D9)</f>
        <v>2896</v>
      </c>
      <c r="E10" s="65">
        <f>D10-E4-E5-E6-E7-E8-E9</f>
        <v>2896</v>
      </c>
      <c r="F10" s="55"/>
      <c r="G10" s="55">
        <f>SUM(G4:G9)</f>
        <v>158</v>
      </c>
      <c r="H10" s="65">
        <f>G10-H4-H5-H6-H7-H8-H9</f>
        <v>158</v>
      </c>
      <c r="K10" s="415"/>
      <c r="N10" s="65"/>
    </row>
    <row r="11" spans="11:14" s="55" customFormat="1" ht="11.25">
      <c r="K11" s="589" t="s">
        <v>32</v>
      </c>
      <c r="L11" s="602"/>
      <c r="M11" s="602"/>
      <c r="N11" s="603"/>
    </row>
    <row r="12" spans="1:14" s="55" customFormat="1" ht="12.75">
      <c r="A12" s="620" t="s">
        <v>33</v>
      </c>
      <c r="B12" s="621"/>
      <c r="D12" s="620" t="s">
        <v>34</v>
      </c>
      <c r="E12" s="621"/>
      <c r="G12" s="620" t="s">
        <v>35</v>
      </c>
      <c r="H12" s="621"/>
      <c r="I12" s="406" t="s">
        <v>36</v>
      </c>
      <c r="J12" s="433"/>
      <c r="K12" s="604"/>
      <c r="L12" s="605"/>
      <c r="M12" s="605"/>
      <c r="N12" s="606"/>
    </row>
    <row r="13" spans="1:13" s="55" customFormat="1" ht="11.25">
      <c r="A13" s="55">
        <v>0</v>
      </c>
      <c r="B13" s="65"/>
      <c r="D13" s="55">
        <v>0</v>
      </c>
      <c r="E13" s="65">
        <v>0</v>
      </c>
      <c r="F13" s="55"/>
      <c r="G13" s="55">
        <v>369</v>
      </c>
      <c r="H13" s="65"/>
      <c r="I13" s="55">
        <v>407</v>
      </c>
      <c r="J13" s="65"/>
      <c r="M13" s="414"/>
    </row>
    <row r="14" spans="2:13" s="55" customFormat="1" ht="11.25">
      <c r="B14" s="65"/>
      <c r="E14" s="65"/>
      <c r="G14" s="55">
        <v>0</v>
      </c>
      <c r="H14" s="65"/>
      <c r="J14" s="65"/>
      <c r="M14" s="65"/>
    </row>
    <row r="15" spans="2:13" s="55" customFormat="1" ht="11.25">
      <c r="B15" s="65"/>
      <c r="E15" s="65"/>
      <c r="F15" s="409"/>
      <c r="G15" s="55">
        <v>0</v>
      </c>
      <c r="H15" s="65"/>
      <c r="J15" s="65"/>
      <c r="M15" s="65"/>
    </row>
    <row r="16" spans="2:13" s="55" customFormat="1" ht="11.25">
      <c r="B16" s="65"/>
      <c r="E16" s="65"/>
      <c r="H16" s="65"/>
      <c r="J16" s="65"/>
      <c r="M16" s="65"/>
    </row>
    <row r="17" spans="2:13" s="55" customFormat="1" ht="11.25">
      <c r="B17" s="65"/>
      <c r="E17" s="65"/>
      <c r="H17" s="65"/>
      <c r="J17" s="65"/>
      <c r="M17" s="65"/>
    </row>
    <row r="18" spans="1:13" s="55" customFormat="1" ht="11.25">
      <c r="A18" s="55">
        <f>SUM(A13:A17)</f>
        <v>0</v>
      </c>
      <c r="B18" s="65">
        <f>A18-B13-B14-B15-B16-B17</f>
        <v>0</v>
      </c>
      <c r="C18" s="55"/>
      <c r="D18" s="55">
        <f>SUM(D13:D17)</f>
        <v>0</v>
      </c>
      <c r="E18" s="65">
        <f>D18-E13-E14-E15-E16-E17</f>
        <v>0</v>
      </c>
      <c r="F18" s="55"/>
      <c r="G18" s="55">
        <f>SUM(G13:G17)</f>
        <v>369</v>
      </c>
      <c r="H18" s="65">
        <f>G18-H13-H14-H15-H16-H17</f>
        <v>369</v>
      </c>
      <c r="I18" s="55">
        <f>SUM(I13:I17)</f>
        <v>407</v>
      </c>
      <c r="J18" s="65">
        <f>I18-J13-J14-J15-J16-J17</f>
        <v>407</v>
      </c>
      <c r="M18" s="65"/>
    </row>
    <row r="19" spans="13:14" s="55" customFormat="1" ht="11.25" customHeight="1">
      <c r="M19" s="635">
        <f>B10+E10+H10+K9+N9+B18+E18+H18+J18</f>
        <v>7265</v>
      </c>
      <c r="N19" s="636"/>
    </row>
    <row r="20" spans="1:17" s="55" customFormat="1" ht="12" thickBot="1">
      <c r="A20" s="410"/>
      <c r="B20" s="410"/>
      <c r="C20" s="410"/>
      <c r="D20" s="410"/>
      <c r="E20" s="410"/>
      <c r="F20" s="410"/>
      <c r="G20" s="410"/>
      <c r="H20" s="410"/>
      <c r="I20" s="410"/>
      <c r="J20" s="410"/>
      <c r="K20" s="410"/>
      <c r="L20" s="410"/>
      <c r="M20" s="410"/>
      <c r="N20" s="410"/>
      <c r="Q20" s="57"/>
    </row>
    <row r="21" spans="3:13" s="55" customFormat="1" ht="11.25">
      <c r="C21" s="438" t="s">
        <v>283</v>
      </c>
      <c r="J21" s="55" t="s">
        <v>286</v>
      </c>
      <c r="M21" s="55" t="s">
        <v>287</v>
      </c>
    </row>
    <row r="22" spans="1:14" s="55" customFormat="1" ht="12.75">
      <c r="A22" s="620" t="s">
        <v>37</v>
      </c>
      <c r="B22" s="637"/>
      <c r="D22" s="620" t="s">
        <v>38</v>
      </c>
      <c r="E22" s="621"/>
      <c r="G22" s="620" t="s">
        <v>39</v>
      </c>
      <c r="H22" s="621"/>
      <c r="J22" s="620" t="s">
        <v>284</v>
      </c>
      <c r="K22" s="621"/>
      <c r="M22" s="406" t="s">
        <v>285</v>
      </c>
      <c r="N22" s="407"/>
    </row>
    <row r="23" spans="1:14" s="55" customFormat="1" ht="11.25">
      <c r="A23" s="55">
        <v>0</v>
      </c>
      <c r="B23" s="65"/>
      <c r="D23" s="55">
        <v>1247</v>
      </c>
      <c r="E23" s="65"/>
      <c r="G23" s="55">
        <v>83988</v>
      </c>
      <c r="H23" s="65"/>
      <c r="J23" s="55">
        <v>11318</v>
      </c>
      <c r="K23" s="65"/>
      <c r="M23" s="55">
        <v>18928</v>
      </c>
      <c r="N23" s="65"/>
    </row>
    <row r="24" spans="2:14" s="55" customFormat="1" ht="11.25">
      <c r="B24" s="65"/>
      <c r="C24" s="55" t="s">
        <v>280</v>
      </c>
      <c r="E24" s="65"/>
      <c r="F24" s="55" t="s">
        <v>280</v>
      </c>
      <c r="G24" s="439">
        <f>'bdoVPZ RT mars  99'!N42</f>
        <v>1620</v>
      </c>
      <c r="H24" s="65"/>
      <c r="I24" s="55" t="s">
        <v>280</v>
      </c>
      <c r="J24" s="55">
        <f>'bdoVPZ RT mars  99'!O42</f>
        <v>0</v>
      </c>
      <c r="K24" s="65"/>
      <c r="M24" s="55">
        <f>'bdoVPZ RT mars  99'!P42</f>
        <v>0</v>
      </c>
      <c r="N24" s="65"/>
    </row>
    <row r="25" spans="2:14" s="55" customFormat="1" ht="11.25">
      <c r="B25" s="65"/>
      <c r="E25" s="65"/>
      <c r="G25" s="55">
        <f>'bdoCH RT      99'!N42</f>
        <v>0</v>
      </c>
      <c r="H25" s="65"/>
      <c r="I25" s="409" t="s">
        <v>549</v>
      </c>
      <c r="J25" s="55">
        <v>0</v>
      </c>
      <c r="K25" s="65"/>
      <c r="L25" s="409" t="s">
        <v>549</v>
      </c>
      <c r="M25" s="55">
        <v>0</v>
      </c>
      <c r="N25" s="65"/>
    </row>
    <row r="26" spans="2:14" s="55" customFormat="1" ht="11.25">
      <c r="B26" s="65"/>
      <c r="E26" s="65"/>
      <c r="F26" s="409" t="s">
        <v>549</v>
      </c>
      <c r="H26" s="65"/>
      <c r="J26" s="55">
        <f>'bdoCH RT      99'!O42</f>
        <v>0</v>
      </c>
      <c r="K26" s="65"/>
      <c r="M26" s="55">
        <f>'bdoCH RT      99'!P42</f>
        <v>0</v>
      </c>
      <c r="N26" s="65"/>
    </row>
    <row r="27" spans="2:14" s="55" customFormat="1" ht="11.25">
      <c r="B27" s="65"/>
      <c r="E27" s="65"/>
      <c r="H27" s="65"/>
      <c r="K27" s="65"/>
      <c r="N27" s="65"/>
    </row>
    <row r="28" spans="2:14" s="55" customFormat="1" ht="11.25">
      <c r="B28" s="65"/>
      <c r="E28" s="65"/>
      <c r="H28" s="65"/>
      <c r="J28" s="55">
        <f>SUM(J23:J27)</f>
        <v>11318</v>
      </c>
      <c r="K28" s="65">
        <f>J28-K23-K24-K25--K26-K27</f>
        <v>11318</v>
      </c>
      <c r="L28" s="55"/>
      <c r="M28" s="55">
        <f>SUM(M23:M27)</f>
        <v>18928</v>
      </c>
      <c r="N28" s="65">
        <f>M28-N23-N24-N25--N26-N27</f>
        <v>18928</v>
      </c>
    </row>
    <row r="29" spans="1:11" s="55" customFormat="1" ht="11.25" customHeight="1">
      <c r="A29" s="55">
        <f>SUM(A23:A28)</f>
        <v>0</v>
      </c>
      <c r="B29" s="65">
        <f>A29-B23-B24-B25-B26-B27-B28</f>
        <v>0</v>
      </c>
      <c r="C29" s="55"/>
      <c r="D29" s="55">
        <f>SUM(D23:D28)</f>
        <v>1247</v>
      </c>
      <c r="E29" s="65">
        <f>D29-E23-E24-E25-E26-E27-E28</f>
        <v>1247</v>
      </c>
      <c r="F29" s="55"/>
      <c r="G29" s="55">
        <f>SUM(G23:G28)</f>
        <v>85608</v>
      </c>
      <c r="H29" s="65">
        <f>G29-H23-H24-H25-H26-H27-H28</f>
        <v>85608</v>
      </c>
      <c r="K29" s="415"/>
    </row>
    <row r="30" spans="11:14" s="55" customFormat="1" ht="11.25" customHeight="1">
      <c r="K30" s="589" t="s">
        <v>40</v>
      </c>
      <c r="L30" s="602"/>
      <c r="M30" s="602"/>
      <c r="N30" s="631"/>
    </row>
    <row r="31" spans="1:14" s="55" customFormat="1" ht="12.75">
      <c r="A31" s="620" t="s">
        <v>41</v>
      </c>
      <c r="B31" s="621"/>
      <c r="D31" s="620" t="s">
        <v>288</v>
      </c>
      <c r="E31" s="621"/>
      <c r="G31" s="406" t="s">
        <v>42</v>
      </c>
      <c r="H31" s="407"/>
      <c r="I31" s="66"/>
      <c r="J31" s="66"/>
      <c r="K31" s="604"/>
      <c r="L31" s="605"/>
      <c r="M31" s="605"/>
      <c r="N31" s="632"/>
    </row>
    <row r="32" spans="1:13" s="55" customFormat="1" ht="11.25">
      <c r="A32" s="55">
        <v>2377</v>
      </c>
      <c r="B32" s="440"/>
      <c r="D32" s="55">
        <v>1204</v>
      </c>
      <c r="E32" s="65"/>
      <c r="F32" s="127" t="s">
        <v>289</v>
      </c>
      <c r="G32" s="55">
        <v>1197</v>
      </c>
      <c r="H32" s="65"/>
      <c r="M32" s="65"/>
    </row>
    <row r="33" spans="1:13" s="55" customFormat="1" ht="12">
      <c r="A33" s="55">
        <f>'bdoVPZ RT mars  99'!M42</f>
        <v>0</v>
      </c>
      <c r="B33" s="440"/>
      <c r="C33" s="55" t="s">
        <v>280</v>
      </c>
      <c r="D33" s="55">
        <f>'bdoVPZ RT mars  99'!B42</f>
        <v>0</v>
      </c>
      <c r="E33" s="65"/>
      <c r="H33" s="65"/>
      <c r="J33" s="500"/>
      <c r="M33" s="65"/>
    </row>
    <row r="34" spans="1:13" s="55" customFormat="1" ht="11.25">
      <c r="A34" s="55">
        <f>'bdoCH RT      99'!M42</f>
        <v>0</v>
      </c>
      <c r="B34" s="65"/>
      <c r="D34" s="55">
        <f>'bdoCH RT      99'!B42</f>
        <v>0</v>
      </c>
      <c r="E34" s="65"/>
      <c r="H34" s="65"/>
      <c r="M34" s="65"/>
    </row>
    <row r="35" spans="1:14" ht="11.25" customHeight="1">
      <c r="A35" s="55"/>
      <c r="B35" s="65"/>
      <c r="C35" s="55"/>
      <c r="D35" s="55"/>
      <c r="E35" s="65"/>
      <c r="F35" s="55"/>
      <c r="G35" s="55"/>
      <c r="H35" s="65"/>
      <c r="J35" s="501"/>
      <c r="K35" s="55"/>
      <c r="L35" s="55"/>
      <c r="M35" s="65"/>
      <c r="N35" s="55"/>
    </row>
    <row r="36" spans="1:14" ht="11.25" customHeight="1">
      <c r="A36" s="55"/>
      <c r="B36" s="65"/>
      <c r="C36" s="55"/>
      <c r="D36" s="55"/>
      <c r="E36" s="65"/>
      <c r="F36" s="55"/>
      <c r="G36" s="55"/>
      <c r="H36" s="65"/>
      <c r="K36" s="55" t="s">
        <v>1154</v>
      </c>
      <c r="L36" s="55"/>
      <c r="M36" s="65"/>
      <c r="N36" s="55"/>
    </row>
    <row r="37" spans="2:14" s="55" customFormat="1" ht="11.25" customHeight="1">
      <c r="B37" s="65"/>
      <c r="E37" s="65"/>
      <c r="H37" s="65"/>
      <c r="J37" s="500"/>
      <c r="K37" s="629">
        <f>A23+D23+G23+J23+M23+A32+D32+G32</f>
        <v>120259</v>
      </c>
      <c r="L37" s="630"/>
      <c r="M37" s="633">
        <f>B29+E29+H29+K28+N28+B38+E38+H38</f>
        <v>121879</v>
      </c>
      <c r="N37" s="634"/>
    </row>
    <row r="38" spans="1:14" ht="12.75">
      <c r="A38" s="55">
        <f>SUM(A32:A37)</f>
        <v>2377</v>
      </c>
      <c r="B38" s="65">
        <f>A38-B32-B33-B34-B35-B36-B37</f>
        <v>2377</v>
      </c>
      <c r="C38" s="55"/>
      <c r="D38" s="55">
        <f>SUM(D32:D37)</f>
        <v>1204</v>
      </c>
      <c r="E38" s="65">
        <f>D38-E32-E33-E34-E35-E36-E37</f>
        <v>1204</v>
      </c>
      <c r="F38" s="55"/>
      <c r="G38" s="55">
        <f>SUM(G32:G37)</f>
        <v>1197</v>
      </c>
      <c r="H38" s="65">
        <f>G38-H32-H33-H34-H35-H36-H37</f>
        <v>1197</v>
      </c>
      <c r="K38" s="443" t="s">
        <v>47</v>
      </c>
      <c r="L38" s="444"/>
      <c r="M38" s="588">
        <f>M19+M37</f>
        <v>129144</v>
      </c>
      <c r="N38" s="610"/>
    </row>
    <row r="39" spans="9:15" ht="12.75">
      <c r="I39" s="518" t="s">
        <v>1093</v>
      </c>
      <c r="J39" s="124"/>
      <c r="K39" s="124">
        <f>'Mixt&amp;Batt.mars 99 SKI (2)'!L35+M35</f>
        <v>689186</v>
      </c>
      <c r="L39" s="124"/>
      <c r="M39" s="441" t="s">
        <v>43</v>
      </c>
      <c r="N39" s="57" t="s">
        <v>44</v>
      </c>
      <c r="O39" s="519">
        <f>'Mixt&amp;Batt.mars 99 SKI (2)'!N38+N38</f>
        <v>697877</v>
      </c>
    </row>
    <row r="40" spans="9:15" ht="12.75">
      <c r="I40" s="518" t="s">
        <v>1095</v>
      </c>
      <c r="J40" s="124"/>
      <c r="K40" s="124">
        <f>'Accu&amp;Résé mars 99'!K36:L36</f>
        <v>109500</v>
      </c>
      <c r="L40" s="124"/>
      <c r="M40" s="441" t="s">
        <v>43</v>
      </c>
      <c r="N40" s="57" t="s">
        <v>45</v>
      </c>
      <c r="O40" s="519">
        <f>'Accu&amp;Résé mars 99'!$M$38</f>
        <v>90735</v>
      </c>
    </row>
    <row r="41" spans="9:15" ht="12.75">
      <c r="I41" s="518" t="s">
        <v>1094</v>
      </c>
      <c r="J41" s="124"/>
      <c r="K41" s="124">
        <f>K37</f>
        <v>120259</v>
      </c>
      <c r="L41" s="124"/>
      <c r="M41" s="441" t="s">
        <v>43</v>
      </c>
      <c r="N41" s="57" t="s">
        <v>46</v>
      </c>
      <c r="O41" s="519">
        <f>M38</f>
        <v>129144</v>
      </c>
    </row>
    <row r="42" spans="10:15" ht="15">
      <c r="J42" s="608">
        <f>SUM(K39:K41)</f>
        <v>918945</v>
      </c>
      <c r="K42" s="614"/>
      <c r="N42" s="442" t="s">
        <v>2</v>
      </c>
      <c r="O42" s="517">
        <f>O39+O40+O41</f>
        <v>917756</v>
      </c>
    </row>
    <row r="43" spans="13:15" ht="12.75">
      <c r="M43" s="547" t="s">
        <v>1111</v>
      </c>
      <c r="N43" s="124">
        <f>J42-O42</f>
        <v>1189</v>
      </c>
      <c r="O43" s="124"/>
    </row>
  </sheetData>
  <mergeCells count="21">
    <mergeCell ref="J42:K42"/>
    <mergeCell ref="M3:N3"/>
    <mergeCell ref="K11:N12"/>
    <mergeCell ref="A12:B12"/>
    <mergeCell ref="D12:E12"/>
    <mergeCell ref="G12:H12"/>
    <mergeCell ref="A3:B3"/>
    <mergeCell ref="D3:E3"/>
    <mergeCell ref="G3:H3"/>
    <mergeCell ref="J3:K3"/>
    <mergeCell ref="M19:N19"/>
    <mergeCell ref="A22:B22"/>
    <mergeCell ref="D22:E22"/>
    <mergeCell ref="G22:H22"/>
    <mergeCell ref="J22:K22"/>
    <mergeCell ref="M38:N38"/>
    <mergeCell ref="K37:L37"/>
    <mergeCell ref="K30:N31"/>
    <mergeCell ref="A31:B31"/>
    <mergeCell ref="D31:E31"/>
    <mergeCell ref="M37:N37"/>
  </mergeCells>
  <printOptions/>
  <pageMargins left="0.3937007874015748" right="0.3937007874015748" top="0.3937007874015748" bottom="0.3937007874015748" header="0.31496062992125984" footer="0.31496062992125984"/>
  <pageSetup horizontalDpi="300" verticalDpi="300" orientation="landscape" paperSize="9" scale="90" r:id="rId2"/>
  <headerFooter alignWithMargins="0">
    <oddFooter>&amp;C&amp;F&amp;RPage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13"/>
  <dimension ref="A1:U54"/>
  <sheetViews>
    <sheetView showZeros="0" workbookViewId="0" topLeftCell="H1">
      <pane ySplit="1" topLeftCell="BM2" activePane="bottomLeft" state="frozen"/>
      <selection pane="topLeft" activeCell="A1" sqref="A1"/>
      <selection pane="bottomLeft" activeCell="U2" sqref="U2"/>
    </sheetView>
  </sheetViews>
  <sheetFormatPr defaultColWidth="11.421875" defaultRowHeight="9.75" customHeight="1"/>
  <cols>
    <col min="1" max="1" width="5.28125" style="2" customWidth="1"/>
    <col min="2" max="2" width="6.140625" style="2" customWidth="1"/>
    <col min="3" max="3" width="6.7109375" style="2" customWidth="1"/>
    <col min="4" max="4" width="5.8515625" style="2" customWidth="1"/>
    <col min="5" max="5" width="6.7109375" style="2" customWidth="1"/>
    <col min="6" max="6" width="6.140625" style="2" customWidth="1"/>
    <col min="7" max="7" width="6.7109375" style="2" customWidth="1"/>
    <col min="8" max="8" width="6.00390625" style="2" customWidth="1"/>
    <col min="9" max="12" width="6.7109375" style="2" customWidth="1"/>
    <col min="13" max="14" width="6.421875" style="2" customWidth="1"/>
    <col min="15" max="16" width="6.7109375" style="2" customWidth="1"/>
    <col min="17" max="17" width="5.7109375" style="2" customWidth="1"/>
    <col min="18" max="18" width="5.140625" style="2" customWidth="1"/>
    <col min="19" max="20" width="6.7109375" style="2" customWidth="1"/>
    <col min="21" max="21" width="9.00390625" style="2" customWidth="1"/>
    <col min="22" max="16384" width="6.7109375" style="2" customWidth="1"/>
  </cols>
  <sheetData>
    <row r="1" spans="1:21" s="8" customFormat="1" ht="35.25" customHeight="1">
      <c r="A1" s="34" t="s">
        <v>963</v>
      </c>
      <c r="B1" s="33" t="s">
        <v>272</v>
      </c>
      <c r="C1" s="33" t="s">
        <v>72</v>
      </c>
      <c r="D1" s="33" t="s">
        <v>73</v>
      </c>
      <c r="E1" s="33" t="s">
        <v>74</v>
      </c>
      <c r="F1" s="33" t="s">
        <v>75</v>
      </c>
      <c r="G1" s="33" t="s">
        <v>76</v>
      </c>
      <c r="H1" s="33" t="s">
        <v>77</v>
      </c>
      <c r="I1" s="33" t="s">
        <v>78</v>
      </c>
      <c r="J1" s="33" t="s">
        <v>79</v>
      </c>
      <c r="K1" s="33" t="s">
        <v>80</v>
      </c>
      <c r="L1" s="33" t="s">
        <v>81</v>
      </c>
      <c r="M1" s="33" t="s">
        <v>82</v>
      </c>
      <c r="N1" s="33" t="s">
        <v>962</v>
      </c>
      <c r="O1" s="33" t="s">
        <v>83</v>
      </c>
      <c r="P1" s="33" t="s">
        <v>84</v>
      </c>
      <c r="Q1" s="33" t="s">
        <v>85</v>
      </c>
      <c r="R1" s="33" t="s">
        <v>86</v>
      </c>
      <c r="S1" s="33" t="s">
        <v>87</v>
      </c>
      <c r="T1" s="34" t="s">
        <v>971</v>
      </c>
      <c r="U1" s="34" t="s">
        <v>88</v>
      </c>
    </row>
    <row r="2" spans="1:19" ht="10.5" customHeight="1">
      <c r="A2" s="3">
        <v>9</v>
      </c>
      <c r="B2" s="2">
        <v>0</v>
      </c>
      <c r="C2" s="2"/>
      <c r="D2" s="2">
        <v>0</v>
      </c>
      <c r="E2" s="2">
        <v>0</v>
      </c>
      <c r="F2" s="2"/>
      <c r="G2" s="2">
        <v>0</v>
      </c>
      <c r="H2" s="2"/>
      <c r="I2" s="2">
        <v>0</v>
      </c>
      <c r="J2" s="2">
        <v>0</v>
      </c>
      <c r="K2" s="2"/>
      <c r="L2" s="2">
        <v>0</v>
      </c>
      <c r="M2" s="2">
        <v>0</v>
      </c>
      <c r="N2" s="5">
        <v>0</v>
      </c>
      <c r="O2" s="2">
        <v>0</v>
      </c>
      <c r="P2" s="2">
        <v>0</v>
      </c>
      <c r="Q2" s="2">
        <v>0</v>
      </c>
      <c r="R2" s="2">
        <v>0</v>
      </c>
      <c r="S2" s="2">
        <v>0</v>
      </c>
    </row>
    <row r="3" spans="4:21" ht="10.5" customHeight="1">
      <c r="D3" s="2">
        <v>0</v>
      </c>
      <c r="I3" s="2">
        <v>0</v>
      </c>
      <c r="J3" s="2">
        <v>0</v>
      </c>
      <c r="K3" s="2"/>
      <c r="L3" s="2">
        <v>0</v>
      </c>
      <c r="M3" s="2"/>
      <c r="N3" s="5">
        <v>0</v>
      </c>
      <c r="O3" s="2">
        <v>0</v>
      </c>
      <c r="S3" s="2">
        <v>0</v>
      </c>
      <c r="U3" s="3"/>
    </row>
    <row r="4" spans="4:21" ht="10.5" customHeight="1">
      <c r="D4" s="2">
        <v>0</v>
      </c>
      <c r="L4" s="2">
        <v>0</v>
      </c>
      <c r="N4" s="5"/>
      <c r="O4" s="2">
        <v>0</v>
      </c>
      <c r="U4" s="3"/>
    </row>
    <row r="5" spans="4:21" ht="10.5" customHeight="1">
      <c r="D5" s="2">
        <v>0</v>
      </c>
      <c r="N5" s="5"/>
      <c r="U5" s="3"/>
    </row>
    <row r="6" spans="9:14" ht="10.5" customHeight="1">
      <c r="I6" s="2">
        <v>0</v>
      </c>
      <c r="N6" s="5"/>
    </row>
    <row r="7" spans="9:21" ht="10.5" customHeight="1">
      <c r="I7" s="2">
        <v>0</v>
      </c>
      <c r="N7" s="5"/>
      <c r="U7" s="36"/>
    </row>
    <row r="8" spans="1:21" ht="10.5" customHeight="1">
      <c r="A8" s="3"/>
      <c r="N8" s="5"/>
      <c r="U8" s="5"/>
    </row>
    <row r="9" spans="1:21" ht="10.5" customHeight="1">
      <c r="A9" s="12"/>
      <c r="B9" s="8"/>
      <c r="C9" s="12"/>
      <c r="D9" s="12">
        <f>SUM(D2:D8)</f>
        <v>0</v>
      </c>
      <c r="E9" s="12">
        <f>SUM(E2:E8)</f>
        <v>0</v>
      </c>
      <c r="F9" s="12"/>
      <c r="G9" s="12"/>
      <c r="H9" s="12"/>
      <c r="I9" s="12">
        <f>SUM(I2:I6)</f>
        <v>0</v>
      </c>
      <c r="J9" s="12">
        <f>SUM(J2:J8)</f>
        <v>0</v>
      </c>
      <c r="K9" s="12"/>
      <c r="L9" s="12">
        <f>SUM(L2:L8)</f>
        <v>0</v>
      </c>
      <c r="M9" s="12">
        <f>SUM(M2:M8)</f>
        <v>0</v>
      </c>
      <c r="N9" s="12">
        <f>SUM(N2:N8)</f>
        <v>0</v>
      </c>
      <c r="O9" s="12">
        <f>SUM(O2:O6)</f>
        <v>0</v>
      </c>
      <c r="P9" s="12">
        <f>SUM(P2:P8)</f>
        <v>0</v>
      </c>
      <c r="Q9" s="12">
        <f>SUM(Q2:Q8)</f>
        <v>0</v>
      </c>
      <c r="R9" s="12">
        <f>SUM(R2:R8)</f>
        <v>0</v>
      </c>
      <c r="S9" s="12">
        <f>SUM(S2:S8)</f>
        <v>0</v>
      </c>
      <c r="T9" s="13">
        <f>SUM(B9:S9)</f>
        <v>0</v>
      </c>
      <c r="U9" s="37"/>
    </row>
    <row r="10" spans="1:19" ht="10.5" customHeight="1">
      <c r="A10" s="3">
        <v>10</v>
      </c>
      <c r="B10" s="2"/>
      <c r="C10" s="2">
        <v>0</v>
      </c>
      <c r="D10" s="2">
        <v>0</v>
      </c>
      <c r="E10" s="2">
        <v>0</v>
      </c>
      <c r="F10" s="2">
        <v>0</v>
      </c>
      <c r="I10" s="2">
        <v>0</v>
      </c>
      <c r="J10" s="2">
        <v>0</v>
      </c>
      <c r="K10" s="2"/>
      <c r="L10" s="2">
        <v>0</v>
      </c>
      <c r="M10" s="2">
        <v>0</v>
      </c>
      <c r="N10" s="5"/>
      <c r="O10" s="2">
        <v>0</v>
      </c>
      <c r="P10" s="2">
        <v>0</v>
      </c>
      <c r="Q10" s="2"/>
      <c r="R10" s="2">
        <v>0</v>
      </c>
      <c r="S10" s="2">
        <v>0</v>
      </c>
    </row>
    <row r="11" spans="1:19" ht="10.5" customHeight="1">
      <c r="A11" s="3"/>
      <c r="D11" s="2">
        <v>0</v>
      </c>
      <c r="I11" s="2">
        <v>0</v>
      </c>
      <c r="J11" s="2">
        <v>0</v>
      </c>
      <c r="K11" s="2"/>
      <c r="L11" s="2">
        <v>0</v>
      </c>
      <c r="N11" s="5"/>
      <c r="O11" s="2">
        <v>0</v>
      </c>
      <c r="S11" s="2">
        <v>0</v>
      </c>
    </row>
    <row r="12" spans="1:14" ht="10.5" customHeight="1">
      <c r="A12" s="3"/>
      <c r="D12" s="2">
        <v>0</v>
      </c>
      <c r="L12" s="2">
        <v>0</v>
      </c>
      <c r="N12" s="5"/>
    </row>
    <row r="13" spans="1:14" ht="10.5" customHeight="1">
      <c r="A13" s="3"/>
      <c r="D13" s="2">
        <v>0</v>
      </c>
      <c r="L13" s="2">
        <v>0</v>
      </c>
      <c r="N13" s="5"/>
    </row>
    <row r="14" spans="1:15" ht="10.5" customHeight="1">
      <c r="A14" s="3"/>
      <c r="D14" s="2">
        <v>0</v>
      </c>
      <c r="J14" s="2">
        <v>0</v>
      </c>
      <c r="N14" s="5"/>
      <c r="O14" s="2">
        <v>0</v>
      </c>
    </row>
    <row r="15" spans="1:14" ht="10.5" customHeight="1">
      <c r="A15" s="3"/>
      <c r="D15" s="2">
        <v>0</v>
      </c>
      <c r="J15" s="2">
        <v>0</v>
      </c>
      <c r="N15" s="5"/>
    </row>
    <row r="16" spans="1:14" ht="10.5" customHeight="1">
      <c r="A16" s="3"/>
      <c r="N16" s="5"/>
    </row>
    <row r="17" spans="1:21" ht="10.5" customHeight="1">
      <c r="A17" s="12"/>
      <c r="B17" s="8"/>
      <c r="C17" s="12"/>
      <c r="D17" s="12">
        <f>SUM(D10:D16)</f>
        <v>0</v>
      </c>
      <c r="E17" s="12">
        <f>SUM(E10:E16)</f>
        <v>0</v>
      </c>
      <c r="F17" s="12">
        <f>SUM(F10:F16)</f>
        <v>0</v>
      </c>
      <c r="G17" s="12"/>
      <c r="H17" s="12"/>
      <c r="I17" s="12">
        <f>SUM(I10:I16)</f>
        <v>0</v>
      </c>
      <c r="J17" s="12">
        <f>SUM(J10:J16)</f>
        <v>0</v>
      </c>
      <c r="K17" s="12">
        <f>SUM(K10:K16)</f>
        <v>0</v>
      </c>
      <c r="L17" s="12">
        <f>SUM(L10:L16)</f>
        <v>0</v>
      </c>
      <c r="M17" s="12">
        <f>SUM(M10:M16)</f>
        <v>0</v>
      </c>
      <c r="N17" s="12"/>
      <c r="O17" s="12">
        <f>SUM(O10:O16)</f>
        <v>0</v>
      </c>
      <c r="P17" s="12">
        <f>SUM(P10:P16)</f>
        <v>0</v>
      </c>
      <c r="Q17" s="12">
        <f>SUM(Q10:Q16)</f>
        <v>0</v>
      </c>
      <c r="R17" s="12">
        <f>SUM(R10:R16)</f>
        <v>0</v>
      </c>
      <c r="S17" s="12">
        <f>SUM(S10:S16)</f>
        <v>0</v>
      </c>
      <c r="T17" s="13">
        <f>SUM(B17:S17)</f>
        <v>0</v>
      </c>
      <c r="U17" s="2"/>
    </row>
    <row r="18" spans="1:20" ht="10.5" customHeight="1">
      <c r="A18" s="3">
        <v>11</v>
      </c>
      <c r="B18" s="2">
        <v>0</v>
      </c>
      <c r="C18" s="5">
        <v>0</v>
      </c>
      <c r="D18" s="5">
        <v>0</v>
      </c>
      <c r="E18" s="5">
        <v>0</v>
      </c>
      <c r="F18" s="5"/>
      <c r="G18" s="5"/>
      <c r="H18" s="5"/>
      <c r="I18" s="5">
        <v>0</v>
      </c>
      <c r="J18" s="5">
        <v>0</v>
      </c>
      <c r="K18" s="5"/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3"/>
    </row>
    <row r="19" spans="1:20" ht="10.5" customHeight="1">
      <c r="A19" s="3"/>
      <c r="C19" s="5">
        <v>0</v>
      </c>
      <c r="D19" s="5">
        <v>0</v>
      </c>
      <c r="E19" s="5"/>
      <c r="F19" s="5"/>
      <c r="G19" s="5"/>
      <c r="H19" s="5"/>
      <c r="I19" s="5">
        <v>0</v>
      </c>
      <c r="J19" s="5"/>
      <c r="K19" s="5"/>
      <c r="L19" s="5">
        <v>0</v>
      </c>
      <c r="M19" s="5"/>
      <c r="N19" s="5">
        <v>0</v>
      </c>
      <c r="O19" s="5"/>
      <c r="P19" s="5"/>
      <c r="Q19" s="5"/>
      <c r="R19" s="5"/>
      <c r="S19" s="5"/>
      <c r="T19" s="3"/>
    </row>
    <row r="20" spans="1:20" ht="10.5" customHeight="1">
      <c r="A20" s="3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3"/>
    </row>
    <row r="21" spans="1:21" ht="10.5" customHeight="1">
      <c r="A21" s="3"/>
      <c r="C21" s="5">
        <v>0</v>
      </c>
      <c r="D21" s="2">
        <v>0</v>
      </c>
      <c r="E21" s="5"/>
      <c r="F21" s="5"/>
      <c r="G21" s="5"/>
      <c r="H21" s="5"/>
      <c r="I21" s="5">
        <v>0</v>
      </c>
      <c r="J21" s="5"/>
      <c r="K21" s="5"/>
      <c r="L21" s="5"/>
      <c r="M21" s="5"/>
      <c r="N21" s="5">
        <v>0</v>
      </c>
      <c r="O21" s="5"/>
      <c r="P21" s="5"/>
      <c r="Q21" s="5"/>
      <c r="R21" s="5"/>
      <c r="S21" s="5"/>
      <c r="T21" s="3"/>
      <c r="U21" s="5"/>
    </row>
    <row r="22" spans="1:20" ht="10.5" customHeight="1">
      <c r="A22" s="3"/>
      <c r="C22" s="5">
        <v>0</v>
      </c>
      <c r="D22" s="5">
        <v>0</v>
      </c>
      <c r="E22" s="5"/>
      <c r="F22" s="5"/>
      <c r="G22" s="5"/>
      <c r="H22" s="5"/>
      <c r="I22" s="5">
        <v>0</v>
      </c>
      <c r="J22" s="5"/>
      <c r="K22" s="5"/>
      <c r="L22" s="5"/>
      <c r="M22" s="5"/>
      <c r="N22" s="5">
        <v>0</v>
      </c>
      <c r="O22" s="5"/>
      <c r="P22" s="5"/>
      <c r="Q22" s="5"/>
      <c r="R22" s="5"/>
      <c r="S22" s="5"/>
      <c r="T22" s="3"/>
    </row>
    <row r="23" spans="1:20" ht="10.5" customHeight="1">
      <c r="A23" s="3"/>
      <c r="C23" s="5">
        <v>0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>
        <v>0</v>
      </c>
      <c r="O23" s="5"/>
      <c r="P23" s="5"/>
      <c r="Q23" s="5"/>
      <c r="R23" s="5"/>
      <c r="S23" s="5"/>
      <c r="T23" s="3"/>
    </row>
    <row r="24" spans="1:20" ht="10.5" customHeight="1">
      <c r="A24" s="3"/>
      <c r="C24" s="5">
        <v>0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>
        <v>0</v>
      </c>
      <c r="O24" s="5"/>
      <c r="P24" s="5"/>
      <c r="Q24" s="5"/>
      <c r="R24" s="5"/>
      <c r="S24" s="5"/>
      <c r="T24" s="3"/>
    </row>
    <row r="25" spans="1:21" ht="10.5" customHeight="1">
      <c r="A25" s="12"/>
      <c r="B25" s="8">
        <v>0</v>
      </c>
      <c r="C25" s="8">
        <f>SUM(C18:C24)</f>
        <v>0</v>
      </c>
      <c r="D25" s="12">
        <f>SUM(D18:D24)</f>
        <v>0</v>
      </c>
      <c r="E25" s="12">
        <f>SUM(E18:E24)</f>
        <v>0</v>
      </c>
      <c r="F25" s="12">
        <f>SUM(F19:F24)</f>
        <v>0</v>
      </c>
      <c r="G25" s="12"/>
      <c r="H25" s="12"/>
      <c r="I25" s="12">
        <f>SUM(I18:I24)</f>
        <v>0</v>
      </c>
      <c r="J25" s="12">
        <f>SUM(J18:J24)</f>
        <v>0</v>
      </c>
      <c r="K25" s="12">
        <f>SUM(K18:K24)</f>
        <v>0</v>
      </c>
      <c r="L25" s="12">
        <f>SUM(L18:L24)</f>
        <v>0</v>
      </c>
      <c r="M25" s="12">
        <f>SUM(M18:M24)</f>
        <v>0</v>
      </c>
      <c r="N25" s="12"/>
      <c r="O25" s="12">
        <f>SUM(O18:O24)</f>
        <v>0</v>
      </c>
      <c r="P25" s="12">
        <f>SUM(P18:P24)</f>
        <v>0</v>
      </c>
      <c r="Q25" s="12">
        <f>SUM(Q18:Q24)</f>
        <v>0</v>
      </c>
      <c r="R25" s="12">
        <f>SUM(R18:R24)</f>
        <v>0</v>
      </c>
      <c r="S25" s="12">
        <f>SUM(S18:S24)</f>
        <v>0</v>
      </c>
      <c r="T25" s="13">
        <f>SUM(B25:S25)</f>
        <v>0</v>
      </c>
      <c r="U25" s="2"/>
    </row>
    <row r="26" spans="1:20" ht="10.5" customHeight="1">
      <c r="A26" s="3">
        <v>12</v>
      </c>
      <c r="B26" s="2"/>
      <c r="C26" s="5">
        <v>0</v>
      </c>
      <c r="D26" s="5">
        <v>0</v>
      </c>
      <c r="E26" s="5">
        <v>0</v>
      </c>
      <c r="F26" s="5"/>
      <c r="G26" s="5">
        <v>0</v>
      </c>
      <c r="H26" s="5"/>
      <c r="I26" s="5">
        <v>0</v>
      </c>
      <c r="J26" s="5">
        <v>0</v>
      </c>
      <c r="K26" s="5"/>
      <c r="L26" s="5">
        <v>0</v>
      </c>
      <c r="M26" s="5"/>
      <c r="N26" s="5">
        <v>0</v>
      </c>
      <c r="O26" s="5">
        <v>0</v>
      </c>
      <c r="P26" s="5">
        <v>0</v>
      </c>
      <c r="Q26" s="5"/>
      <c r="R26" s="5">
        <v>0</v>
      </c>
      <c r="S26" s="5">
        <v>0</v>
      </c>
      <c r="T26" s="3"/>
    </row>
    <row r="27" spans="1:20" ht="10.5" customHeight="1">
      <c r="A27" s="3"/>
      <c r="C27" s="5">
        <v>0</v>
      </c>
      <c r="D27" s="5">
        <v>0</v>
      </c>
      <c r="E27" s="5"/>
      <c r="F27" s="5"/>
      <c r="G27" s="5">
        <v>0</v>
      </c>
      <c r="H27" s="5"/>
      <c r="I27" s="5">
        <v>0</v>
      </c>
      <c r="J27" s="5">
        <v>0</v>
      </c>
      <c r="K27" s="5"/>
      <c r="L27" s="5"/>
      <c r="M27" s="5"/>
      <c r="N27" s="5">
        <v>0</v>
      </c>
      <c r="O27" s="5">
        <v>0</v>
      </c>
      <c r="P27" s="5">
        <v>0</v>
      </c>
      <c r="Q27" s="5"/>
      <c r="R27" s="5"/>
      <c r="S27" s="5">
        <v>0</v>
      </c>
      <c r="T27" s="3"/>
    </row>
    <row r="28" spans="1:20" ht="10.5" customHeight="1">
      <c r="A28" s="3"/>
      <c r="C28" s="5">
        <v>0</v>
      </c>
      <c r="E28" s="5"/>
      <c r="F28" s="5"/>
      <c r="G28" s="5"/>
      <c r="H28" s="5"/>
      <c r="I28" s="5">
        <v>0</v>
      </c>
      <c r="J28" s="5">
        <v>0</v>
      </c>
      <c r="K28" s="5"/>
      <c r="L28" s="5"/>
      <c r="M28" s="5"/>
      <c r="N28" s="5">
        <v>0</v>
      </c>
      <c r="O28" s="5">
        <v>0</v>
      </c>
      <c r="P28" s="5"/>
      <c r="Q28" s="5"/>
      <c r="R28" s="5"/>
      <c r="S28" s="5"/>
      <c r="T28" s="3"/>
    </row>
    <row r="29" spans="1:21" ht="10.5" customHeight="1">
      <c r="A29" s="3"/>
      <c r="C29" s="5">
        <v>0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>
        <v>0</v>
      </c>
      <c r="O29" s="5"/>
      <c r="P29" s="5"/>
      <c r="Q29" s="5"/>
      <c r="R29" s="5"/>
      <c r="S29" s="5"/>
      <c r="U29" s="2">
        <v>0</v>
      </c>
    </row>
    <row r="30" spans="1:21" ht="10.5" customHeight="1">
      <c r="A30" s="3"/>
      <c r="C30" s="5">
        <v>0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>
        <v>0</v>
      </c>
      <c r="O30" s="5"/>
      <c r="P30" s="5"/>
      <c r="Q30" s="5"/>
      <c r="R30" s="5"/>
      <c r="S30" s="5"/>
      <c r="U30" s="2">
        <v>0</v>
      </c>
    </row>
    <row r="31" spans="1:21" ht="10.5" customHeight="1">
      <c r="A31" s="3"/>
      <c r="C31" s="5">
        <v>0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>
        <v>0</v>
      </c>
      <c r="O31" s="5"/>
      <c r="P31" s="5"/>
      <c r="Q31" s="5"/>
      <c r="R31" s="5"/>
      <c r="S31" s="5"/>
      <c r="U31" s="2">
        <v>0</v>
      </c>
    </row>
    <row r="32" spans="1:19" ht="10.5" customHeight="1">
      <c r="A32" s="3"/>
      <c r="C32" s="5">
        <v>0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>
        <v>0</v>
      </c>
      <c r="O32" s="5"/>
      <c r="P32" s="5"/>
      <c r="Q32" s="5"/>
      <c r="R32" s="5"/>
      <c r="S32" s="5"/>
    </row>
    <row r="33" spans="1:21" ht="10.5" customHeight="1">
      <c r="A33" s="8"/>
      <c r="B33" s="8"/>
      <c r="C33" s="12">
        <f>SUM(C26:C32)</f>
        <v>0</v>
      </c>
      <c r="D33" s="12">
        <f>SUM(D26:D32)</f>
        <v>0</v>
      </c>
      <c r="E33" s="12">
        <f>SUM(E26:E32)</f>
        <v>0</v>
      </c>
      <c r="F33" s="12">
        <f>SUM(F26:F32)</f>
        <v>0</v>
      </c>
      <c r="G33" s="12">
        <f>SUM(G26:G32)</f>
        <v>0</v>
      </c>
      <c r="H33" s="12">
        <f>SUM(H26:H32)</f>
        <v>0</v>
      </c>
      <c r="I33" s="12">
        <f>SUM(I26:I32)</f>
        <v>0</v>
      </c>
      <c r="J33" s="12">
        <f>SUM(J26:J32)</f>
        <v>0</v>
      </c>
      <c r="K33" s="12">
        <f>SUM(K26:K32)</f>
        <v>0</v>
      </c>
      <c r="L33" s="12">
        <f>SUM(L26:L32)</f>
        <v>0</v>
      </c>
      <c r="M33" s="12">
        <f>SUM(M26:M32)</f>
        <v>0</v>
      </c>
      <c r="N33" s="12">
        <f>SUM(N26:N32)</f>
        <v>0</v>
      </c>
      <c r="O33" s="12">
        <f>SUM(O26:O32)</f>
        <v>0</v>
      </c>
      <c r="P33" s="12">
        <f>SUM(P26:P32)</f>
        <v>0</v>
      </c>
      <c r="Q33" s="12">
        <f>SUM(Q26:Q32)</f>
        <v>0</v>
      </c>
      <c r="R33" s="12">
        <f>SUM(R26:R32)</f>
        <v>0</v>
      </c>
      <c r="S33" s="12">
        <f>SUM(S26:S32)</f>
        <v>0</v>
      </c>
      <c r="T33" s="13">
        <f>SUM(B33:S33)</f>
        <v>0</v>
      </c>
      <c r="U33" s="2"/>
    </row>
    <row r="34" spans="1:20" ht="10.5" customHeight="1">
      <c r="A34" s="3">
        <v>13</v>
      </c>
      <c r="B34" s="2"/>
      <c r="C34" s="5">
        <v>0</v>
      </c>
      <c r="D34" s="5">
        <v>0</v>
      </c>
      <c r="E34" s="5">
        <v>0</v>
      </c>
      <c r="F34" s="5"/>
      <c r="G34" s="5"/>
      <c r="H34" s="5"/>
      <c r="I34" s="5">
        <v>0</v>
      </c>
      <c r="J34" s="5">
        <v>0</v>
      </c>
      <c r="K34" s="5">
        <v>0</v>
      </c>
      <c r="L34" s="5">
        <v>0</v>
      </c>
      <c r="M34" s="5"/>
      <c r="N34" s="5">
        <v>0</v>
      </c>
      <c r="O34" s="5"/>
      <c r="P34" s="5"/>
      <c r="Q34" s="5"/>
      <c r="R34" s="5">
        <v>0</v>
      </c>
      <c r="S34" s="5">
        <v>0</v>
      </c>
      <c r="T34" s="3"/>
    </row>
    <row r="35" spans="1:20" ht="10.5" customHeight="1">
      <c r="A35" s="3"/>
      <c r="C35" s="5">
        <v>0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>
        <v>0</v>
      </c>
      <c r="O35" s="5"/>
      <c r="P35" s="5"/>
      <c r="Q35" s="5"/>
      <c r="R35" s="5"/>
      <c r="S35" s="5"/>
      <c r="T35" s="3"/>
    </row>
    <row r="36" spans="1:20" ht="10.5" customHeight="1">
      <c r="A36" s="3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3"/>
    </row>
    <row r="37" spans="1:20" ht="10.5" customHeight="1">
      <c r="A37" s="3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3"/>
    </row>
    <row r="38" spans="1:20" ht="10.5" customHeight="1">
      <c r="A38" s="3"/>
      <c r="C38" s="5">
        <v>0</v>
      </c>
      <c r="E38" s="5"/>
      <c r="F38" s="5"/>
      <c r="G38" s="5"/>
      <c r="H38" s="5"/>
      <c r="I38" s="5"/>
      <c r="J38" s="5"/>
      <c r="K38" s="5"/>
      <c r="L38" s="5"/>
      <c r="M38" s="5"/>
      <c r="N38" s="5">
        <v>0</v>
      </c>
      <c r="O38" s="5"/>
      <c r="P38" s="5"/>
      <c r="Q38" s="5"/>
      <c r="R38" s="5"/>
      <c r="S38" s="5"/>
      <c r="T38" s="3"/>
    </row>
    <row r="39" spans="1:19" ht="10.5" customHeight="1">
      <c r="A39" s="3"/>
      <c r="C39" s="5">
        <v>0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>
        <v>0</v>
      </c>
      <c r="O39" s="5"/>
      <c r="P39" s="5"/>
      <c r="Q39" s="5"/>
      <c r="R39" s="5"/>
      <c r="S39" s="5"/>
    </row>
    <row r="40" spans="1:21" ht="10.5" customHeight="1">
      <c r="A40" s="3"/>
      <c r="C40" s="5">
        <v>0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>
        <v>0</v>
      </c>
      <c r="O40" s="5"/>
      <c r="P40" s="5"/>
      <c r="Q40" s="5"/>
      <c r="R40" s="5"/>
      <c r="S40" s="5"/>
      <c r="U40" s="120" t="s">
        <v>91</v>
      </c>
    </row>
    <row r="41" spans="1:21" ht="10.5" customHeight="1" thickBot="1">
      <c r="A41" s="119"/>
      <c r="B41" s="119"/>
      <c r="C41" s="119"/>
      <c r="D41" s="119">
        <v>0</v>
      </c>
      <c r="E41" s="119">
        <f>SUM(E34:E40)</f>
        <v>0</v>
      </c>
      <c r="F41" s="119">
        <f>SUM(F34:F40)</f>
        <v>0</v>
      </c>
      <c r="G41" s="119">
        <f>SUM(G34:G40)</f>
        <v>0</v>
      </c>
      <c r="H41" s="119">
        <f>SUM(H34:H40)</f>
        <v>0</v>
      </c>
      <c r="I41" s="119">
        <f>SUM(I34:I40)</f>
        <v>0</v>
      </c>
      <c r="J41" s="119">
        <f>SUM(J34:J40)</f>
        <v>0</v>
      </c>
      <c r="K41" s="119">
        <f>SUM(K34:K40)</f>
        <v>0</v>
      </c>
      <c r="L41" s="119">
        <v>0</v>
      </c>
      <c r="M41" s="119">
        <f>SUM(M34:M40)</f>
        <v>0</v>
      </c>
      <c r="N41" s="119"/>
      <c r="O41" s="119">
        <f>SUM(O34:O40)</f>
        <v>0</v>
      </c>
      <c r="P41" s="119">
        <f>SUM(P34:P40)</f>
        <v>0</v>
      </c>
      <c r="Q41" s="119">
        <f>SUM(Q34:Q40)</f>
        <v>0</v>
      </c>
      <c r="R41" s="119">
        <f>SUM(R34:R40)</f>
        <v>0</v>
      </c>
      <c r="S41" s="119">
        <f>SUM(S34:S40)</f>
        <v>0</v>
      </c>
      <c r="T41" s="13">
        <f>SUM(B41:S41)</f>
        <v>0</v>
      </c>
      <c r="U41" s="121">
        <f>T9</f>
        <v>0</v>
      </c>
    </row>
    <row r="42" spans="1:21" ht="10.5" customHeight="1" thickTop="1">
      <c r="A42" s="3" t="s">
        <v>270</v>
      </c>
      <c r="B42" s="187">
        <f>B9+B17+B25+B33+B41</f>
        <v>0</v>
      </c>
      <c r="C42" s="187">
        <f>C9+C17+C25+C33+C41</f>
        <v>0</v>
      </c>
      <c r="D42" s="187">
        <f>D9+D17+D25+D33+D41</f>
        <v>0</v>
      </c>
      <c r="E42" s="187">
        <f>E9+E17+E25+E33+E41</f>
        <v>0</v>
      </c>
      <c r="F42" s="187">
        <f>F9+F17+F25+F33+F41</f>
        <v>0</v>
      </c>
      <c r="G42" s="187">
        <f>G9+G17+G25+G33+G41</f>
        <v>0</v>
      </c>
      <c r="H42" s="187">
        <f>H9+H17+H25+H33+H41</f>
        <v>0</v>
      </c>
      <c r="I42" s="187">
        <f>I9+I17+I25+I33+I41</f>
        <v>0</v>
      </c>
      <c r="J42" s="187">
        <f>J9+J17+J25+J33+J41</f>
        <v>0</v>
      </c>
      <c r="K42" s="187">
        <f>K9+K17+K25+K33+K41</f>
        <v>0</v>
      </c>
      <c r="L42" s="187">
        <f>L9+L17+L25+L33+L41</f>
        <v>0</v>
      </c>
      <c r="M42" s="187">
        <f>M9+M17+M25+M33+M41</f>
        <v>0</v>
      </c>
      <c r="N42" s="187">
        <f>N9+N17+N25+N33+N41</f>
        <v>0</v>
      </c>
      <c r="O42" s="187">
        <f>O9+O17+O25+O33+O41</f>
        <v>0</v>
      </c>
      <c r="P42" s="187">
        <f>P9+P17+P25+P33+P41</f>
        <v>0</v>
      </c>
      <c r="Q42" s="187">
        <f>Q9+Q17+Q25+Q33+Q41</f>
        <v>0</v>
      </c>
      <c r="R42" s="187">
        <f>R9+R17+R25+R33+R41</f>
        <v>0</v>
      </c>
      <c r="S42" s="187">
        <f>S9+S17+S25+S33+S41</f>
        <v>0</v>
      </c>
      <c r="T42" s="2"/>
      <c r="U42" s="121">
        <f>T17</f>
        <v>0</v>
      </c>
    </row>
    <row r="43" spans="1:21" ht="10.5" customHeight="1">
      <c r="A43" s="6" t="s">
        <v>187</v>
      </c>
      <c r="C43" s="12"/>
      <c r="D43" s="12">
        <f>D9+D17+D25+D33</f>
        <v>0</v>
      </c>
      <c r="E43" s="12">
        <f>E9+E17+E25+E33</f>
        <v>0</v>
      </c>
      <c r="F43" s="12">
        <f>F9+F17+F25+F33</f>
        <v>0</v>
      </c>
      <c r="G43" s="12">
        <f>G9+G17+G25+G33</f>
        <v>0</v>
      </c>
      <c r="H43" s="12">
        <f>H9+H17</f>
        <v>0</v>
      </c>
      <c r="I43" s="12">
        <f>I9+I17+I25+I33</f>
        <v>0</v>
      </c>
      <c r="J43" s="12">
        <f>J9+J17+J25+J33</f>
        <v>0</v>
      </c>
      <c r="K43" s="12">
        <f>K9+K17</f>
        <v>0</v>
      </c>
      <c r="L43" s="12">
        <f>L9+L17+L25+L33</f>
        <v>0</v>
      </c>
      <c r="M43" s="12">
        <f>M9+M17+M25+M33</f>
        <v>0</v>
      </c>
      <c r="N43" s="12"/>
      <c r="O43" s="12">
        <f>O9+O17+O25+O33</f>
        <v>0</v>
      </c>
      <c r="P43" s="12">
        <f>P9+P17+P25+P33</f>
        <v>0</v>
      </c>
      <c r="Q43" s="12">
        <f>Q9+Q17+Q25+Q33</f>
        <v>0</v>
      </c>
      <c r="R43" s="12">
        <f>R9+R17+R25+R33</f>
        <v>0</v>
      </c>
      <c r="S43" s="12">
        <f>S9+S17+S25+S33</f>
        <v>0</v>
      </c>
      <c r="T43" s="2"/>
      <c r="U43" s="121">
        <f>T25</f>
        <v>0</v>
      </c>
    </row>
    <row r="44" spans="14:21" ht="10.5" customHeight="1">
      <c r="N44" s="5"/>
      <c r="U44" s="121">
        <f>T33</f>
        <v>0</v>
      </c>
    </row>
    <row r="45" spans="14:21" ht="10.5" customHeight="1">
      <c r="N45" s="5"/>
      <c r="U45" s="126"/>
    </row>
    <row r="46" spans="3:21" ht="10.5" customHeight="1"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10" t="s">
        <v>93</v>
      </c>
      <c r="U46" s="481">
        <f>SUM(U41:U45)</f>
        <v>0</v>
      </c>
    </row>
    <row r="47" spans="4:21" ht="10.5" customHeight="1">
      <c r="D47" s="3"/>
      <c r="E47" s="3"/>
      <c r="F47" s="3"/>
      <c r="G47" s="3"/>
      <c r="H47" s="3"/>
      <c r="I47" s="3"/>
      <c r="J47" s="3"/>
      <c r="K47" s="3"/>
      <c r="L47" s="3"/>
      <c r="M47" s="3"/>
      <c r="N47" s="5"/>
      <c r="O47" s="3"/>
      <c r="P47" s="3"/>
      <c r="Q47" s="3"/>
      <c r="R47" s="3"/>
      <c r="S47" s="3"/>
      <c r="T47" s="53" t="s">
        <v>92</v>
      </c>
      <c r="U47" s="185">
        <f>'bdoVPZ RT mars  99'!U46</f>
        <v>7797</v>
      </c>
    </row>
    <row r="48" spans="14:21" ht="10.5" customHeight="1">
      <c r="N48" s="5"/>
      <c r="T48" s="3" t="s">
        <v>94</v>
      </c>
      <c r="U48" s="478">
        <f>SUM(U46:U47)</f>
        <v>7797</v>
      </c>
    </row>
    <row r="49" ht="10.5" customHeight="1">
      <c r="N49" s="5"/>
    </row>
    <row r="50" ht="10.5" customHeight="1">
      <c r="N50" s="5"/>
    </row>
    <row r="51" ht="10.5" customHeight="1">
      <c r="N51" s="5"/>
    </row>
    <row r="52" ht="10.5" customHeight="1">
      <c r="N52" s="2"/>
    </row>
    <row r="53" ht="10.5" customHeight="1">
      <c r="N53" s="2"/>
    </row>
    <row r="54" ht="10.5" customHeight="1">
      <c r="N54" s="2"/>
    </row>
  </sheetData>
  <printOptions/>
  <pageMargins left="0.3937007874015748" right="0.3937007874015748" top="0.5905511811023623" bottom="0.5905511811023623" header="0.31496062992125984" footer="0.31496062992125984"/>
  <pageSetup horizontalDpi="300" verticalDpi="300" orientation="landscape" paperSize="9" scale="92" r:id="rId4"/>
  <headerFooter alignWithMargins="0">
    <oddHeader>&amp;LKitenge Somwé&amp;C&amp;A&amp;R&amp;D</oddHeader>
    <oddFooter>&amp;C&amp;F</oddFooter>
  </headerFooter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12"/>
  <dimension ref="A1:V51"/>
  <sheetViews>
    <sheetView showZeros="0" workbookViewId="0" topLeftCell="J1">
      <pane ySplit="1" topLeftCell="BM2" activePane="bottomLeft" state="frozen"/>
      <selection pane="topLeft" activeCell="A1" sqref="A1"/>
      <selection pane="bottomLeft" activeCell="Q20" sqref="Q20"/>
    </sheetView>
  </sheetViews>
  <sheetFormatPr defaultColWidth="11.421875" defaultRowHeight="9.75" customHeight="1"/>
  <cols>
    <col min="1" max="1" width="5.28125" style="2" customWidth="1"/>
    <col min="2" max="2" width="6.140625" style="2" customWidth="1"/>
    <col min="3" max="3" width="6.7109375" style="2" customWidth="1"/>
    <col min="4" max="4" width="5.8515625" style="2" customWidth="1"/>
    <col min="5" max="5" width="6.7109375" style="2" customWidth="1"/>
    <col min="6" max="6" width="6.140625" style="2" customWidth="1"/>
    <col min="7" max="7" width="5.8515625" style="2" customWidth="1"/>
    <col min="8" max="8" width="6.00390625" style="2" customWidth="1"/>
    <col min="9" max="12" width="6.7109375" style="2" customWidth="1"/>
    <col min="13" max="14" width="6.421875" style="2" customWidth="1"/>
    <col min="15" max="16" width="6.7109375" style="2" customWidth="1"/>
    <col min="17" max="17" width="5.7109375" style="2" customWidth="1"/>
    <col min="18" max="18" width="5.140625" style="2" customWidth="1"/>
    <col min="19" max="20" width="6.7109375" style="2" customWidth="1"/>
    <col min="21" max="21" width="9.00390625" style="2" customWidth="1"/>
    <col min="22" max="16384" width="6.7109375" style="2" customWidth="1"/>
  </cols>
  <sheetData>
    <row r="1" spans="1:22" ht="35.25" customHeight="1">
      <c r="A1" s="34" t="s">
        <v>89</v>
      </c>
      <c r="B1" s="33" t="s">
        <v>272</v>
      </c>
      <c r="C1" s="33" t="s">
        <v>72</v>
      </c>
      <c r="D1" s="33" t="s">
        <v>73</v>
      </c>
      <c r="E1" s="33" t="s">
        <v>74</v>
      </c>
      <c r="F1" s="33" t="s">
        <v>75</v>
      </c>
      <c r="G1" s="33" t="s">
        <v>76</v>
      </c>
      <c r="H1" s="33" t="s">
        <v>77</v>
      </c>
      <c r="I1" s="33" t="s">
        <v>78</v>
      </c>
      <c r="J1" s="33" t="s">
        <v>79</v>
      </c>
      <c r="K1" s="33" t="s">
        <v>80</v>
      </c>
      <c r="L1" s="33" t="s">
        <v>81</v>
      </c>
      <c r="M1" s="33" t="s">
        <v>82</v>
      </c>
      <c r="N1" s="33" t="s">
        <v>962</v>
      </c>
      <c r="O1" s="33" t="s">
        <v>83</v>
      </c>
      <c r="P1" s="33" t="s">
        <v>84</v>
      </c>
      <c r="Q1" s="33" t="s">
        <v>85</v>
      </c>
      <c r="R1" s="33" t="s">
        <v>86</v>
      </c>
      <c r="S1" s="33" t="s">
        <v>87</v>
      </c>
      <c r="T1" s="32" t="s">
        <v>90</v>
      </c>
      <c r="U1" s="34" t="s">
        <v>88</v>
      </c>
      <c r="V1" s="35"/>
    </row>
    <row r="2" spans="1:19" ht="9.75" customHeight="1">
      <c r="A2" s="3">
        <v>9</v>
      </c>
      <c r="B2" s="2">
        <v>0</v>
      </c>
      <c r="C2" s="2"/>
      <c r="D2" s="2">
        <v>602</v>
      </c>
      <c r="E2" s="2">
        <v>0</v>
      </c>
      <c r="F2" s="2"/>
      <c r="G2" s="2">
        <v>200</v>
      </c>
      <c r="H2" s="2"/>
      <c r="I2" s="2">
        <v>840</v>
      </c>
      <c r="J2" s="2">
        <v>1130</v>
      </c>
      <c r="K2" s="2">
        <v>72</v>
      </c>
      <c r="L2" s="2">
        <v>1056</v>
      </c>
      <c r="M2" s="2">
        <v>0</v>
      </c>
      <c r="N2" s="5">
        <v>520</v>
      </c>
      <c r="O2" s="2">
        <v>0</v>
      </c>
      <c r="P2" s="2">
        <v>0</v>
      </c>
      <c r="Q2" s="2">
        <v>0</v>
      </c>
      <c r="R2" s="2">
        <v>240</v>
      </c>
      <c r="S2" s="2">
        <v>0</v>
      </c>
    </row>
    <row r="3" spans="4:22" ht="9.75" customHeight="1">
      <c r="D3" s="2">
        <v>636</v>
      </c>
      <c r="I3" s="2">
        <v>0</v>
      </c>
      <c r="J3" s="2">
        <v>0</v>
      </c>
      <c r="K3" s="2"/>
      <c r="L3" s="2">
        <v>0</v>
      </c>
      <c r="M3" s="2"/>
      <c r="N3" s="5">
        <v>600</v>
      </c>
      <c r="O3" s="2">
        <v>0</v>
      </c>
      <c r="S3" s="2">
        <v>0</v>
      </c>
      <c r="T3" s="2"/>
      <c r="U3" s="3">
        <f>U48</f>
        <v>7797</v>
      </c>
      <c r="V3" s="2"/>
    </row>
    <row r="4" spans="4:21" ht="9.75" customHeight="1">
      <c r="D4" s="2">
        <v>585</v>
      </c>
      <c r="L4" s="2">
        <v>0</v>
      </c>
      <c r="M4" s="2"/>
      <c r="N4" s="5">
        <v>500</v>
      </c>
      <c r="O4" s="2">
        <v>0</v>
      </c>
      <c r="U4" s="3"/>
    </row>
    <row r="5" spans="4:21" ht="9.75" customHeight="1">
      <c r="D5" s="2">
        <v>636</v>
      </c>
      <c r="N5" s="5"/>
      <c r="U5" s="3"/>
    </row>
    <row r="6" spans="9:14" ht="9.75" customHeight="1">
      <c r="I6" s="2">
        <v>0</v>
      </c>
      <c r="N6" s="5"/>
    </row>
    <row r="7" spans="9:21" ht="9.75" customHeight="1">
      <c r="I7" s="2">
        <v>0</v>
      </c>
      <c r="N7" s="5"/>
      <c r="U7" s="36"/>
    </row>
    <row r="8" spans="1:21" ht="9.75" customHeight="1">
      <c r="A8" s="3"/>
      <c r="N8" s="5"/>
      <c r="U8" s="5"/>
    </row>
    <row r="9" spans="1:21" ht="9.75" customHeight="1">
      <c r="A9" s="12"/>
      <c r="B9" s="12">
        <f>SUM(B2:B8)</f>
        <v>0</v>
      </c>
      <c r="C9" s="12">
        <f>SUM(C2:C8)</f>
        <v>0</v>
      </c>
      <c r="D9" s="12">
        <f>SUM(D2:D8)</f>
        <v>2459</v>
      </c>
      <c r="E9" s="12">
        <f>SUM(E2:E8)</f>
        <v>0</v>
      </c>
      <c r="F9" s="12">
        <f>SUM(F2:F8)</f>
        <v>0</v>
      </c>
      <c r="G9" s="12">
        <f>SUM(G2:G8)</f>
        <v>200</v>
      </c>
      <c r="H9" s="12">
        <f>SUM(H2:H8)</f>
        <v>0</v>
      </c>
      <c r="I9" s="12">
        <f>SUM(I2:I6)</f>
        <v>840</v>
      </c>
      <c r="J9" s="12">
        <f>SUM(J2:J8)</f>
        <v>1130</v>
      </c>
      <c r="K9" s="12">
        <f>SUM(K2:K8)</f>
        <v>72</v>
      </c>
      <c r="L9" s="12">
        <f>SUM(L2:L8)</f>
        <v>1056</v>
      </c>
      <c r="M9" s="12">
        <f>SUM(M2:M8)</f>
        <v>0</v>
      </c>
      <c r="N9" s="12">
        <f>SUM(N2:N8)</f>
        <v>1620</v>
      </c>
      <c r="O9" s="12">
        <f>SUM(O2:O6)</f>
        <v>0</v>
      </c>
      <c r="P9" s="12">
        <f>SUM(P2:P8)</f>
        <v>0</v>
      </c>
      <c r="Q9" s="12">
        <f>SUM(Q2:Q8)</f>
        <v>0</v>
      </c>
      <c r="R9" s="12">
        <f>SUM(R2:R8)</f>
        <v>240</v>
      </c>
      <c r="S9" s="12">
        <v>180</v>
      </c>
      <c r="T9" s="13">
        <f>SUM(B9:S9)</f>
        <v>7797</v>
      </c>
      <c r="U9" s="37"/>
    </row>
    <row r="10" spans="1:19" ht="9.75" customHeight="1">
      <c r="A10" s="3">
        <v>10</v>
      </c>
      <c r="B10" s="2"/>
      <c r="C10" s="2">
        <v>0</v>
      </c>
      <c r="D10" s="2">
        <v>0</v>
      </c>
      <c r="E10" s="2">
        <v>0</v>
      </c>
      <c r="F10" s="2">
        <v>0</v>
      </c>
      <c r="I10" s="2">
        <v>0</v>
      </c>
      <c r="J10" s="2">
        <v>0</v>
      </c>
      <c r="K10" s="2"/>
      <c r="L10" s="2">
        <v>0</v>
      </c>
      <c r="M10" s="2">
        <v>0</v>
      </c>
      <c r="N10" s="5"/>
      <c r="O10" s="2">
        <v>0</v>
      </c>
      <c r="P10" s="2">
        <v>0</v>
      </c>
      <c r="Q10" s="2"/>
      <c r="R10" s="2">
        <v>0</v>
      </c>
      <c r="S10" s="2">
        <v>0</v>
      </c>
    </row>
    <row r="11" spans="1:19" ht="9.75" customHeight="1">
      <c r="A11" s="3"/>
      <c r="D11" s="2">
        <v>0</v>
      </c>
      <c r="I11" s="2">
        <v>0</v>
      </c>
      <c r="J11" s="2">
        <v>0</v>
      </c>
      <c r="K11" s="2"/>
      <c r="L11" s="2">
        <v>0</v>
      </c>
      <c r="N11" s="5"/>
      <c r="O11" s="2">
        <v>0</v>
      </c>
      <c r="S11" s="2">
        <v>0</v>
      </c>
    </row>
    <row r="12" spans="1:14" ht="9.75" customHeight="1">
      <c r="A12" s="3"/>
      <c r="D12" s="2">
        <v>0</v>
      </c>
      <c r="L12" s="2">
        <v>0</v>
      </c>
      <c r="N12" s="5"/>
    </row>
    <row r="13" spans="1:14" ht="9.75" customHeight="1">
      <c r="A13" s="3"/>
      <c r="D13" s="2">
        <v>0</v>
      </c>
      <c r="L13" s="2">
        <v>0</v>
      </c>
      <c r="N13" s="5"/>
    </row>
    <row r="14" spans="1:15" ht="9.75" customHeight="1">
      <c r="A14" s="3"/>
      <c r="D14" s="2">
        <v>0</v>
      </c>
      <c r="J14" s="2">
        <v>0</v>
      </c>
      <c r="N14" s="5"/>
      <c r="O14" s="2">
        <v>0</v>
      </c>
    </row>
    <row r="15" spans="1:14" ht="9.75" customHeight="1">
      <c r="A15" s="3"/>
      <c r="D15" s="2">
        <v>0</v>
      </c>
      <c r="J15" s="2">
        <v>0</v>
      </c>
      <c r="N15" s="5"/>
    </row>
    <row r="16" spans="1:14" ht="9.75" customHeight="1">
      <c r="A16" s="3"/>
      <c r="N16" s="5"/>
    </row>
    <row r="17" spans="1:21" ht="9.75" customHeight="1">
      <c r="A17" s="12"/>
      <c r="B17" s="12">
        <f>SUM(B10:B16)</f>
        <v>0</v>
      </c>
      <c r="C17" s="12">
        <f>SUM(C10:C16)</f>
        <v>0</v>
      </c>
      <c r="D17" s="12">
        <f>SUM(D10:D16)</f>
        <v>0</v>
      </c>
      <c r="E17" s="12">
        <f>SUM(E10:E16)</f>
        <v>0</v>
      </c>
      <c r="F17" s="12">
        <f>SUM(F10:F16)</f>
        <v>0</v>
      </c>
      <c r="G17" s="12">
        <f>SUM(G10:G16)</f>
        <v>0</v>
      </c>
      <c r="H17" s="12">
        <f>SUM(H10:H16)</f>
        <v>0</v>
      </c>
      <c r="I17" s="12">
        <f>SUM(I10:I16)</f>
        <v>0</v>
      </c>
      <c r="J17" s="12">
        <f>SUM(J10:J16)</f>
        <v>0</v>
      </c>
      <c r="K17" s="12">
        <f>SUM(K10:K16)</f>
        <v>0</v>
      </c>
      <c r="L17" s="12">
        <f>SUM(L10:L16)</f>
        <v>0</v>
      </c>
      <c r="M17" s="12">
        <f>SUM(M10:M16)</f>
        <v>0</v>
      </c>
      <c r="N17" s="12">
        <f>SUM(N10:N16)</f>
        <v>0</v>
      </c>
      <c r="O17" s="12">
        <f>SUM(O10:O16)</f>
        <v>0</v>
      </c>
      <c r="P17" s="12">
        <f>SUM(P10:P16)</f>
        <v>0</v>
      </c>
      <c r="Q17" s="12">
        <f>SUM(Q10:Q16)</f>
        <v>0</v>
      </c>
      <c r="R17" s="12">
        <f>SUM(R10:R16)</f>
        <v>0</v>
      </c>
      <c r="S17" s="12">
        <f>SUM(S10:S16)</f>
        <v>0</v>
      </c>
      <c r="T17" s="13">
        <f>SUM(B17:S17)</f>
        <v>0</v>
      </c>
      <c r="U17" s="2"/>
    </row>
    <row r="18" spans="1:20" ht="9.75" customHeight="1">
      <c r="A18" s="3">
        <v>11</v>
      </c>
      <c r="B18" s="2">
        <v>0</v>
      </c>
      <c r="C18" s="5">
        <v>0</v>
      </c>
      <c r="D18" s="5">
        <v>0</v>
      </c>
      <c r="E18" s="5">
        <v>0</v>
      </c>
      <c r="F18" s="5"/>
      <c r="G18" s="5"/>
      <c r="H18" s="5"/>
      <c r="I18" s="5">
        <v>0</v>
      </c>
      <c r="J18" s="5">
        <v>0</v>
      </c>
      <c r="K18" s="5"/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3"/>
    </row>
    <row r="19" spans="1:20" ht="9.75" customHeight="1">
      <c r="A19" s="3"/>
      <c r="C19" s="5">
        <v>0</v>
      </c>
      <c r="D19" s="5">
        <v>0</v>
      </c>
      <c r="E19" s="5"/>
      <c r="F19" s="5"/>
      <c r="G19" s="5"/>
      <c r="H19" s="5"/>
      <c r="I19" s="5">
        <v>0</v>
      </c>
      <c r="J19" s="5"/>
      <c r="K19" s="5"/>
      <c r="L19" s="5">
        <v>0</v>
      </c>
      <c r="M19" s="5"/>
      <c r="N19" s="5">
        <v>0</v>
      </c>
      <c r="O19" s="5"/>
      <c r="P19" s="5"/>
      <c r="Q19" s="5"/>
      <c r="R19" s="5"/>
      <c r="S19" s="5"/>
      <c r="T19" s="3"/>
    </row>
    <row r="20" spans="1:20" ht="9.75" customHeight="1">
      <c r="A20" s="3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3"/>
    </row>
    <row r="21" spans="1:21" ht="9.75" customHeight="1">
      <c r="A21" s="3"/>
      <c r="C21" s="5">
        <v>0</v>
      </c>
      <c r="D21" s="2">
        <v>0</v>
      </c>
      <c r="E21" s="5"/>
      <c r="F21" s="5"/>
      <c r="G21" s="5"/>
      <c r="H21" s="5"/>
      <c r="I21" s="5">
        <v>0</v>
      </c>
      <c r="J21" s="5"/>
      <c r="K21" s="5"/>
      <c r="L21" s="5"/>
      <c r="M21" s="5"/>
      <c r="N21" s="5">
        <v>0</v>
      </c>
      <c r="O21" s="5"/>
      <c r="P21" s="5"/>
      <c r="Q21" s="5"/>
      <c r="R21" s="5"/>
      <c r="S21" s="5"/>
      <c r="T21" s="3"/>
      <c r="U21" s="8"/>
    </row>
    <row r="22" spans="1:20" ht="9.75" customHeight="1">
      <c r="A22" s="3"/>
      <c r="C22" s="5">
        <v>0</v>
      </c>
      <c r="D22" s="5">
        <v>0</v>
      </c>
      <c r="E22" s="5"/>
      <c r="F22" s="5"/>
      <c r="G22" s="5"/>
      <c r="H22" s="5"/>
      <c r="I22" s="5">
        <v>0</v>
      </c>
      <c r="J22" s="5"/>
      <c r="K22" s="5"/>
      <c r="L22" s="5"/>
      <c r="M22" s="5"/>
      <c r="N22" s="5">
        <v>0</v>
      </c>
      <c r="O22" s="5"/>
      <c r="P22" s="5"/>
      <c r="Q22" s="5"/>
      <c r="R22" s="5"/>
      <c r="S22" s="5"/>
      <c r="T22" s="3"/>
    </row>
    <row r="23" spans="1:20" ht="9.75" customHeight="1">
      <c r="A23" s="3"/>
      <c r="C23" s="5">
        <v>0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>
        <v>0</v>
      </c>
      <c r="O23" s="5"/>
      <c r="P23" s="5"/>
      <c r="Q23" s="5"/>
      <c r="R23" s="5"/>
      <c r="S23" s="5"/>
      <c r="T23" s="3"/>
    </row>
    <row r="24" spans="1:20" ht="9.75" customHeight="1">
      <c r="A24" s="3"/>
      <c r="C24" s="5">
        <v>0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>
        <v>0</v>
      </c>
      <c r="O24" s="5"/>
      <c r="P24" s="5"/>
      <c r="Q24" s="5"/>
      <c r="R24" s="5"/>
      <c r="S24" s="5"/>
      <c r="T24" s="3"/>
    </row>
    <row r="25" spans="1:21" ht="9.75" customHeight="1">
      <c r="A25" s="12"/>
      <c r="B25" s="12">
        <f>SUM(B18:B24)</f>
        <v>0</v>
      </c>
      <c r="C25" s="12">
        <f>SUM(C18:C24)</f>
        <v>0</v>
      </c>
      <c r="D25" s="12">
        <f>SUM(D18:D24)</f>
        <v>0</v>
      </c>
      <c r="E25" s="12">
        <f>SUM(E18:E24)</f>
        <v>0</v>
      </c>
      <c r="F25" s="12">
        <f>SUM(F18:F24)</f>
        <v>0</v>
      </c>
      <c r="G25" s="12">
        <f>SUM(G18:G24)</f>
        <v>0</v>
      </c>
      <c r="H25" s="12">
        <f>SUM(H18:H24)</f>
        <v>0</v>
      </c>
      <c r="I25" s="12">
        <f>SUM(I18:I24)</f>
        <v>0</v>
      </c>
      <c r="J25" s="12">
        <f>SUM(J18:J24)</f>
        <v>0</v>
      </c>
      <c r="K25" s="12">
        <f>SUM(K18:K24)</f>
        <v>0</v>
      </c>
      <c r="L25" s="12">
        <f>SUM(L18:L24)</f>
        <v>0</v>
      </c>
      <c r="M25" s="12">
        <f>SUM(M18:M24)</f>
        <v>0</v>
      </c>
      <c r="N25" s="12">
        <f>SUM(N18:N24)</f>
        <v>0</v>
      </c>
      <c r="O25" s="12">
        <f>SUM(O18:O24)</f>
        <v>0</v>
      </c>
      <c r="P25" s="12">
        <f>SUM(P18:P24)</f>
        <v>0</v>
      </c>
      <c r="Q25" s="12">
        <f>SUM(Q18:Q24)</f>
        <v>0</v>
      </c>
      <c r="R25" s="12">
        <f>SUM(R18:R24)</f>
        <v>0</v>
      </c>
      <c r="S25" s="12">
        <f>SUM(S18:S24)</f>
        <v>0</v>
      </c>
      <c r="T25" s="13">
        <f>SUM(B25:S25)</f>
        <v>0</v>
      </c>
      <c r="U25" s="2"/>
    </row>
    <row r="26" spans="1:20" ht="9.75" customHeight="1">
      <c r="A26" s="3">
        <v>12</v>
      </c>
      <c r="B26" s="2"/>
      <c r="C26" s="5">
        <v>0</v>
      </c>
      <c r="D26" s="5">
        <v>0</v>
      </c>
      <c r="E26" s="5">
        <v>0</v>
      </c>
      <c r="F26" s="5"/>
      <c r="G26" s="5">
        <v>0</v>
      </c>
      <c r="H26" s="5"/>
      <c r="I26" s="5">
        <v>0</v>
      </c>
      <c r="J26" s="5">
        <v>0</v>
      </c>
      <c r="K26" s="5"/>
      <c r="L26" s="5">
        <v>0</v>
      </c>
      <c r="M26" s="5"/>
      <c r="N26" s="5">
        <v>0</v>
      </c>
      <c r="O26" s="5">
        <v>0</v>
      </c>
      <c r="P26" s="5">
        <v>0</v>
      </c>
      <c r="Q26" s="5"/>
      <c r="R26" s="5">
        <v>0</v>
      </c>
      <c r="S26" s="5">
        <v>0</v>
      </c>
      <c r="T26" s="3"/>
    </row>
    <row r="27" spans="1:20" ht="9.75" customHeight="1">
      <c r="A27" s="3"/>
      <c r="C27" s="5">
        <v>0</v>
      </c>
      <c r="D27" s="5">
        <v>0</v>
      </c>
      <c r="E27" s="5"/>
      <c r="F27" s="5"/>
      <c r="G27" s="5">
        <v>0</v>
      </c>
      <c r="H27" s="5"/>
      <c r="I27" s="5">
        <v>0</v>
      </c>
      <c r="J27" s="5">
        <v>0</v>
      </c>
      <c r="K27" s="5"/>
      <c r="L27" s="5"/>
      <c r="M27" s="5"/>
      <c r="N27" s="5">
        <v>0</v>
      </c>
      <c r="O27" s="5">
        <v>0</v>
      </c>
      <c r="P27" s="5">
        <v>0</v>
      </c>
      <c r="Q27" s="5"/>
      <c r="R27" s="5"/>
      <c r="S27" s="5">
        <v>0</v>
      </c>
      <c r="T27" s="3"/>
    </row>
    <row r="28" spans="1:20" ht="9.75" customHeight="1">
      <c r="A28" s="3"/>
      <c r="C28" s="5">
        <v>0</v>
      </c>
      <c r="E28" s="5"/>
      <c r="F28" s="5"/>
      <c r="G28" s="5"/>
      <c r="H28" s="5"/>
      <c r="I28" s="5">
        <v>0</v>
      </c>
      <c r="J28" s="5">
        <v>0</v>
      </c>
      <c r="K28" s="5"/>
      <c r="L28" s="5"/>
      <c r="M28" s="5"/>
      <c r="N28" s="5">
        <v>0</v>
      </c>
      <c r="O28" s="5">
        <v>0</v>
      </c>
      <c r="P28" s="5"/>
      <c r="Q28" s="5"/>
      <c r="R28" s="5"/>
      <c r="S28" s="5"/>
      <c r="T28" s="3"/>
    </row>
    <row r="29" spans="1:21" ht="9.75" customHeight="1">
      <c r="A29" s="3"/>
      <c r="C29" s="5">
        <v>0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>
        <v>0</v>
      </c>
      <c r="O29" s="5"/>
      <c r="P29" s="5"/>
      <c r="Q29" s="5"/>
      <c r="R29" s="5"/>
      <c r="S29" s="5"/>
      <c r="U29" s="8"/>
    </row>
    <row r="30" spans="1:19" ht="9.75" customHeight="1">
      <c r="A30" s="3"/>
      <c r="C30" s="5">
        <v>0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>
        <v>0</v>
      </c>
      <c r="O30" s="5"/>
      <c r="P30" s="5"/>
      <c r="Q30" s="5"/>
      <c r="R30" s="5"/>
      <c r="S30" s="5"/>
    </row>
    <row r="31" spans="1:19" ht="9.75" customHeight="1">
      <c r="A31" s="3"/>
      <c r="C31" s="5">
        <v>0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>
        <v>0</v>
      </c>
      <c r="O31" s="5"/>
      <c r="P31" s="5"/>
      <c r="Q31" s="5"/>
      <c r="R31" s="5"/>
      <c r="S31" s="5"/>
    </row>
    <row r="32" spans="1:19" ht="9.75" customHeight="1">
      <c r="A32" s="3"/>
      <c r="C32" s="5">
        <v>0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>
        <v>0</v>
      </c>
      <c r="O32" s="5"/>
      <c r="P32" s="5"/>
      <c r="Q32" s="5"/>
      <c r="R32" s="5"/>
      <c r="S32" s="5"/>
    </row>
    <row r="33" spans="1:21" ht="9.75" customHeight="1">
      <c r="A33" s="8"/>
      <c r="B33" s="12">
        <f>SUM(B26:B32)</f>
        <v>0</v>
      </c>
      <c r="C33" s="12">
        <f>SUM(C26:C32)</f>
        <v>0</v>
      </c>
      <c r="D33" s="12">
        <f>SUM(D26:D32)</f>
        <v>0</v>
      </c>
      <c r="E33" s="12">
        <f>SUM(E26:E32)</f>
        <v>0</v>
      </c>
      <c r="F33" s="12">
        <f>SUM(F26:F32)</f>
        <v>0</v>
      </c>
      <c r="G33" s="12">
        <f>SUM(G26:G32)</f>
        <v>0</v>
      </c>
      <c r="H33" s="12">
        <f>SUM(H26:H32)</f>
        <v>0</v>
      </c>
      <c r="I33" s="12">
        <f>SUM(I26:I32)</f>
        <v>0</v>
      </c>
      <c r="J33" s="12">
        <f>SUM(J26:J32)</f>
        <v>0</v>
      </c>
      <c r="K33" s="12">
        <f>SUM(K26:K32)</f>
        <v>0</v>
      </c>
      <c r="L33" s="12">
        <f>SUM(L26:L32)</f>
        <v>0</v>
      </c>
      <c r="M33" s="12">
        <f>SUM(M26:M32)</f>
        <v>0</v>
      </c>
      <c r="N33" s="12">
        <f>SUM(N26:N32)</f>
        <v>0</v>
      </c>
      <c r="O33" s="12">
        <f>SUM(O26:O32)</f>
        <v>0</v>
      </c>
      <c r="P33" s="12">
        <f>SUM(P26:P32)</f>
        <v>0</v>
      </c>
      <c r="Q33" s="12">
        <f>SUM(Q26:Q32)</f>
        <v>0</v>
      </c>
      <c r="R33" s="12">
        <f>SUM(R26:R32)</f>
        <v>0</v>
      </c>
      <c r="S33" s="12">
        <f>SUM(S26:S32)</f>
        <v>0</v>
      </c>
      <c r="T33" s="13">
        <f>SUM(B33:S33)</f>
        <v>0</v>
      </c>
      <c r="U33" s="2"/>
    </row>
    <row r="34" spans="1:20" ht="9.75" customHeight="1">
      <c r="A34" s="3">
        <v>13</v>
      </c>
      <c r="B34" s="2"/>
      <c r="C34" s="5">
        <v>0</v>
      </c>
      <c r="D34" s="5">
        <v>0</v>
      </c>
      <c r="E34" s="5">
        <v>0</v>
      </c>
      <c r="F34" s="5"/>
      <c r="G34" s="5"/>
      <c r="H34" s="5"/>
      <c r="I34" s="5">
        <v>0</v>
      </c>
      <c r="J34" s="5">
        <v>0</v>
      </c>
      <c r="K34" s="5">
        <v>0</v>
      </c>
      <c r="L34" s="5">
        <v>0</v>
      </c>
      <c r="M34" s="5"/>
      <c r="N34" s="5">
        <v>0</v>
      </c>
      <c r="O34" s="5"/>
      <c r="P34" s="5"/>
      <c r="Q34" s="5"/>
      <c r="R34" s="5">
        <v>0</v>
      </c>
      <c r="S34" s="5">
        <v>0</v>
      </c>
      <c r="T34" s="3"/>
    </row>
    <row r="35" spans="1:20" ht="9.75" customHeight="1">
      <c r="A35" s="3"/>
      <c r="C35" s="5">
        <v>0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>
        <v>0</v>
      </c>
      <c r="O35" s="5"/>
      <c r="P35" s="5"/>
      <c r="Q35" s="5"/>
      <c r="R35" s="5"/>
      <c r="S35" s="5"/>
      <c r="T35" s="3"/>
    </row>
    <row r="36" spans="1:20" ht="9.75" customHeight="1">
      <c r="A36" s="3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3"/>
    </row>
    <row r="37" spans="1:20" ht="9.75" customHeight="1">
      <c r="A37" s="3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3"/>
    </row>
    <row r="38" spans="1:20" ht="9.75" customHeight="1">
      <c r="A38" s="3"/>
      <c r="C38" s="5">
        <v>0</v>
      </c>
      <c r="E38" s="5"/>
      <c r="F38" s="5"/>
      <c r="G38" s="5"/>
      <c r="H38" s="5"/>
      <c r="I38" s="5"/>
      <c r="J38" s="5"/>
      <c r="K38" s="5"/>
      <c r="L38" s="5"/>
      <c r="M38" s="5"/>
      <c r="N38" s="5">
        <v>0</v>
      </c>
      <c r="O38" s="5"/>
      <c r="P38" s="5"/>
      <c r="Q38" s="5"/>
      <c r="R38" s="5"/>
      <c r="S38" s="5"/>
      <c r="T38" s="3"/>
    </row>
    <row r="39" spans="1:19" ht="9.75" customHeight="1">
      <c r="A39" s="3"/>
      <c r="C39" s="5">
        <v>0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>
        <v>0</v>
      </c>
      <c r="O39" s="5"/>
      <c r="P39" s="5"/>
      <c r="Q39" s="5"/>
      <c r="R39" s="5"/>
      <c r="S39" s="5"/>
    </row>
    <row r="40" spans="1:21" ht="9.75" customHeight="1">
      <c r="A40" s="3"/>
      <c r="C40" s="5">
        <v>0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>
        <v>0</v>
      </c>
      <c r="O40" s="5"/>
      <c r="P40" s="5"/>
      <c r="Q40" s="5"/>
      <c r="R40" s="5"/>
      <c r="S40" s="5"/>
      <c r="U40" s="120" t="s">
        <v>91</v>
      </c>
    </row>
    <row r="41" spans="1:21" ht="9.75" customHeight="1" thickBot="1">
      <c r="A41" s="119"/>
      <c r="B41" s="119">
        <f>SUM(B34:B40)</f>
        <v>0</v>
      </c>
      <c r="C41" s="119">
        <f>SUM(C34:C40)</f>
        <v>0</v>
      </c>
      <c r="D41" s="119">
        <f>SUM(D34:D40)</f>
        <v>0</v>
      </c>
      <c r="E41" s="119">
        <f>SUM(E34:E40)</f>
        <v>0</v>
      </c>
      <c r="F41" s="119">
        <f>SUM(F34:F40)</f>
        <v>0</v>
      </c>
      <c r="G41" s="119">
        <f>SUM(G34:G40)</f>
        <v>0</v>
      </c>
      <c r="H41" s="119">
        <f>SUM(H34:H40)</f>
        <v>0</v>
      </c>
      <c r="I41" s="119">
        <f>SUM(I34:I40)</f>
        <v>0</v>
      </c>
      <c r="J41" s="119">
        <f>SUM(J34:J40)</f>
        <v>0</v>
      </c>
      <c r="K41" s="119">
        <f>SUM(K34:K40)</f>
        <v>0</v>
      </c>
      <c r="L41" s="119">
        <f>SUM(L34:L40)</f>
        <v>0</v>
      </c>
      <c r="M41" s="119">
        <f>SUM(M34:M40)</f>
        <v>0</v>
      </c>
      <c r="N41" s="119">
        <f>SUM(N34:N40)</f>
        <v>0</v>
      </c>
      <c r="O41" s="119">
        <f>SUM(O34:O40)</f>
        <v>0</v>
      </c>
      <c r="P41" s="119">
        <f>SUM(P34:P40)</f>
        <v>0</v>
      </c>
      <c r="Q41" s="119">
        <f>SUM(Q34:Q40)</f>
        <v>0</v>
      </c>
      <c r="R41" s="119">
        <f>SUM(R34:R40)</f>
        <v>0</v>
      </c>
      <c r="S41" s="119">
        <f>SUM(S34:S40)</f>
        <v>0</v>
      </c>
      <c r="T41" s="13">
        <f>SUM(B41:S41)</f>
        <v>0</v>
      </c>
      <c r="U41" s="121">
        <f>T9</f>
        <v>7797</v>
      </c>
    </row>
    <row r="42" spans="1:21" ht="9.75" customHeight="1" thickTop="1">
      <c r="A42" s="3" t="s">
        <v>270</v>
      </c>
      <c r="B42" s="187">
        <f>B9+B17+B25+B33+B41</f>
        <v>0</v>
      </c>
      <c r="C42" s="187">
        <f>C9+C17+C25+C33+C41</f>
        <v>0</v>
      </c>
      <c r="D42" s="187">
        <f>D9+D17+D25+D33+D41</f>
        <v>2459</v>
      </c>
      <c r="E42" s="187">
        <f>E9+E17+E25+E33+E41</f>
        <v>0</v>
      </c>
      <c r="F42" s="187">
        <f>F9+F17+F25+F33+F41</f>
        <v>0</v>
      </c>
      <c r="G42" s="187">
        <f>G9+G17+G25+G33+G41</f>
        <v>200</v>
      </c>
      <c r="H42" s="187">
        <f>H9+H17+H25+H33+H41</f>
        <v>0</v>
      </c>
      <c r="I42" s="187">
        <f>I9+I17+I25+I33+I41</f>
        <v>840</v>
      </c>
      <c r="J42" s="187">
        <f>J9+J17+J25+J33+J41</f>
        <v>1130</v>
      </c>
      <c r="K42" s="187">
        <f>K9+K17+K25+K33+K41</f>
        <v>72</v>
      </c>
      <c r="L42" s="187">
        <f>L9+L17+L25+L33+L41</f>
        <v>1056</v>
      </c>
      <c r="M42" s="187">
        <f>M9+M17+M25+M33+M41</f>
        <v>0</v>
      </c>
      <c r="N42" s="187">
        <f>N9+N17+N25+N33+N41</f>
        <v>1620</v>
      </c>
      <c r="O42" s="187">
        <f>O9+O17+O25+O33+O41</f>
        <v>0</v>
      </c>
      <c r="P42" s="187">
        <f>P9+P17+P25+P33+P41</f>
        <v>0</v>
      </c>
      <c r="Q42" s="187">
        <f>Q9+Q17+Q25+Q33+Q41</f>
        <v>0</v>
      </c>
      <c r="R42" s="187">
        <f>R9+R17+R25+R33+R41</f>
        <v>240</v>
      </c>
      <c r="S42" s="187">
        <f>S9+S17+S25+S33+S41</f>
        <v>180</v>
      </c>
      <c r="T42" s="2"/>
      <c r="U42" s="121">
        <f>T17</f>
        <v>0</v>
      </c>
    </row>
    <row r="43" spans="1:21" ht="9.75" customHeight="1">
      <c r="A43" s="6" t="s">
        <v>187</v>
      </c>
      <c r="C43" s="12"/>
      <c r="D43" s="12">
        <f>D9+D17+D25+D33</f>
        <v>2459</v>
      </c>
      <c r="E43" s="12">
        <f>E9+E17+E25+E33</f>
        <v>0</v>
      </c>
      <c r="F43" s="12">
        <f>F9+F17+F25+F33</f>
        <v>0</v>
      </c>
      <c r="G43" s="12">
        <f>G9+G17+G25+G33</f>
        <v>200</v>
      </c>
      <c r="H43" s="12">
        <f>H9+H17</f>
        <v>0</v>
      </c>
      <c r="I43" s="12">
        <f>I9+I17+I25+I33</f>
        <v>840</v>
      </c>
      <c r="J43" s="12">
        <f>J9+J17+J25+J33</f>
        <v>1130</v>
      </c>
      <c r="K43" s="12">
        <f>K9+K17</f>
        <v>72</v>
      </c>
      <c r="L43" s="12">
        <f>L9+L17+L25+L33</f>
        <v>1056</v>
      </c>
      <c r="M43" s="12">
        <f>M9+M17+M25+M33</f>
        <v>0</v>
      </c>
      <c r="N43" s="12"/>
      <c r="O43" s="12">
        <f>O9+O17+O25+O33</f>
        <v>0</v>
      </c>
      <c r="P43" s="12">
        <f>P9+P17+P25+P33</f>
        <v>0</v>
      </c>
      <c r="Q43" s="12">
        <f>Q9+Q17+Q25+Q33</f>
        <v>0</v>
      </c>
      <c r="R43" s="12">
        <f>R9+R17+R25+R33</f>
        <v>240</v>
      </c>
      <c r="S43" s="12">
        <f>S9+S17+S25+S33</f>
        <v>180</v>
      </c>
      <c r="T43" s="2"/>
      <c r="U43" s="121">
        <f>T25</f>
        <v>0</v>
      </c>
    </row>
    <row r="44" spans="2:21" ht="9.75" customHeight="1">
      <c r="B44" s="11"/>
      <c r="U44" s="121">
        <f>T33</f>
        <v>0</v>
      </c>
    </row>
    <row r="45" spans="2:21" ht="9.75" customHeight="1">
      <c r="B45" s="11"/>
      <c r="T45" s="185"/>
      <c r="U45" s="480">
        <f>T41</f>
        <v>0</v>
      </c>
    </row>
    <row r="46" spans="1:21" ht="9.75" customHeight="1">
      <c r="A46" s="2" t="s">
        <v>271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11" t="s">
        <v>92</v>
      </c>
      <c r="U46" s="478">
        <f>SUM(U41:U45)</f>
        <v>7797</v>
      </c>
    </row>
    <row r="47" spans="1:21" ht="9.75" customHeight="1">
      <c r="A47" s="5"/>
      <c r="B47" s="11"/>
      <c r="C47" s="5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53" t="s">
        <v>93</v>
      </c>
      <c r="U47" s="479">
        <f>'bdoCH RT      99'!U46</f>
        <v>0</v>
      </c>
    </row>
    <row r="48" spans="2:21" ht="9.75" customHeight="1">
      <c r="B48" s="11"/>
      <c r="T48" s="186" t="s">
        <v>94</v>
      </c>
      <c r="U48" s="63">
        <f>SUM(U46:U47)</f>
        <v>7797</v>
      </c>
    </row>
    <row r="49" ht="9.75" customHeight="1">
      <c r="B49" s="11"/>
    </row>
    <row r="50" ht="9.75" customHeight="1">
      <c r="B50" s="11"/>
    </row>
    <row r="51" ht="9.75" customHeight="1">
      <c r="B51" s="11"/>
    </row>
  </sheetData>
  <printOptions gridLines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88" r:id="rId1"/>
  <headerFooter alignWithMargins="0">
    <oddHeader>&amp;LKitenge Somwé&amp;CPage &amp;P&amp;R&amp;D</oddHeader>
    <oddFooter>&amp;C&amp;F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111"/>
  <dimension ref="A1:O81"/>
  <sheetViews>
    <sheetView workbookViewId="0" topLeftCell="H1">
      <selection activeCell="M12" sqref="M12"/>
    </sheetView>
  </sheetViews>
  <sheetFormatPr defaultColWidth="11.421875" defaultRowHeight="9.75" customHeight="1"/>
  <cols>
    <col min="1" max="1" width="7.00390625" style="131" customWidth="1"/>
    <col min="2" max="2" width="8.00390625" style="131" customWidth="1"/>
    <col min="3" max="4" width="9.57421875" style="131" customWidth="1"/>
    <col min="5" max="5" width="11.57421875" style="131" customWidth="1"/>
    <col min="6" max="6" width="9.8515625" style="131" customWidth="1"/>
    <col min="7" max="7" width="8.7109375" style="131" customWidth="1"/>
    <col min="8" max="8" width="9.00390625" style="131" customWidth="1"/>
    <col min="9" max="9" width="9.8515625" style="131" customWidth="1"/>
    <col min="10" max="10" width="8.7109375" style="131" customWidth="1"/>
    <col min="11" max="11" width="8.8515625" style="131" customWidth="1"/>
    <col min="12" max="12" width="14.57421875" style="131" customWidth="1"/>
    <col min="13" max="13" width="12.28125" style="131" customWidth="1"/>
    <col min="14" max="14" width="2.28125" style="131" customWidth="1"/>
    <col min="15" max="15" width="8.7109375" style="131" customWidth="1"/>
    <col min="16" max="16384" width="11.421875" style="131" customWidth="1"/>
  </cols>
  <sheetData>
    <row r="1" spans="1:14" ht="30.75" customHeight="1">
      <c r="A1" s="128" t="s">
        <v>95</v>
      </c>
      <c r="B1" s="128" t="s">
        <v>96</v>
      </c>
      <c r="C1" s="128" t="s">
        <v>97</v>
      </c>
      <c r="D1" s="129" t="s">
        <v>522</v>
      </c>
      <c r="E1" s="129" t="s">
        <v>366</v>
      </c>
      <c r="F1" s="129" t="s">
        <v>105</v>
      </c>
      <c r="G1" s="129" t="s">
        <v>370</v>
      </c>
      <c r="H1" s="129" t="s">
        <v>371</v>
      </c>
      <c r="I1" s="129" t="s">
        <v>367</v>
      </c>
      <c r="J1" s="129" t="s">
        <v>140</v>
      </c>
      <c r="K1" s="128" t="s">
        <v>239</v>
      </c>
      <c r="L1" s="254" t="s">
        <v>368</v>
      </c>
      <c r="M1" s="129" t="s">
        <v>102</v>
      </c>
      <c r="N1" s="130"/>
    </row>
    <row r="2" spans="1:13" ht="4.5" customHeight="1">
      <c r="A2" s="132"/>
      <c r="B2" s="132"/>
      <c r="C2" s="132"/>
      <c r="D2" s="255"/>
      <c r="E2" s="132"/>
      <c r="F2" s="132"/>
      <c r="G2" s="132"/>
      <c r="I2" s="132"/>
      <c r="J2" s="132"/>
      <c r="K2" s="132"/>
      <c r="M2" s="130"/>
    </row>
    <row r="3" spans="1:13" ht="11.25" customHeight="1">
      <c r="A3" s="190">
        <v>34668</v>
      </c>
      <c r="B3" s="260" t="s">
        <v>103</v>
      </c>
      <c r="C3" s="159">
        <v>93093</v>
      </c>
      <c r="D3" s="148"/>
      <c r="E3" s="130"/>
      <c r="K3" s="131">
        <f>48493-6300</f>
        <v>42193</v>
      </c>
      <c r="L3" s="131" t="s">
        <v>512</v>
      </c>
      <c r="M3" s="135" t="s">
        <v>516</v>
      </c>
    </row>
    <row r="4" spans="1:13" s="130" customFormat="1" ht="11.25" customHeight="1">
      <c r="A4" s="133"/>
      <c r="D4" s="134">
        <f>C3-J4</f>
        <v>10798</v>
      </c>
      <c r="E4" s="130">
        <f>23310-117-2991</f>
        <v>20202</v>
      </c>
      <c r="F4" s="130">
        <v>11193</v>
      </c>
      <c r="G4" s="130">
        <f>accumulateurs</f>
        <v>32900</v>
      </c>
      <c r="H4" s="256">
        <f>SUM(E4:G4)</f>
        <v>64295</v>
      </c>
      <c r="I4" s="130">
        <v>18000</v>
      </c>
      <c r="J4" s="137">
        <f>SUM(H4:I4)</f>
        <v>82295</v>
      </c>
      <c r="K4" s="131">
        <v>21700</v>
      </c>
      <c r="L4" s="131" t="s">
        <v>511</v>
      </c>
      <c r="M4" s="153">
        <v>93093</v>
      </c>
    </row>
    <row r="5" spans="1:13" ht="11.25" customHeight="1">
      <c r="A5" s="133"/>
      <c r="E5" s="133"/>
      <c r="F5" s="131" t="s">
        <v>545</v>
      </c>
      <c r="H5" s="130"/>
      <c r="K5" s="131">
        <f>4900+6300</f>
        <v>11200</v>
      </c>
      <c r="L5" s="131" t="s">
        <v>369</v>
      </c>
      <c r="M5" s="139" t="s">
        <v>517</v>
      </c>
    </row>
    <row r="6" spans="1:13" ht="11.25" customHeight="1">
      <c r="A6" s="133"/>
      <c r="C6" s="386" t="s">
        <v>100</v>
      </c>
      <c r="D6" s="374" t="s">
        <v>542</v>
      </c>
      <c r="E6" s="169"/>
      <c r="F6" s="151"/>
      <c r="H6" s="130"/>
      <c r="I6" s="136"/>
      <c r="K6" s="139">
        <v>18000</v>
      </c>
      <c r="L6" s="132" t="s">
        <v>372</v>
      </c>
      <c r="M6" s="135" t="s">
        <v>513</v>
      </c>
    </row>
    <row r="7" spans="1:15" ht="11.25" customHeight="1">
      <c r="A7" s="133"/>
      <c r="B7" s="130"/>
      <c r="C7" s="155"/>
      <c r="D7" s="130">
        <v>42193</v>
      </c>
      <c r="E7" s="130">
        <v>10798</v>
      </c>
      <c r="F7" s="375">
        <f>E4+F4</f>
        <v>31395</v>
      </c>
      <c r="H7" s="130"/>
      <c r="I7" s="136"/>
      <c r="J7" s="140"/>
      <c r="K7" s="131">
        <f>SUM(K3:K6)</f>
        <v>93093</v>
      </c>
      <c r="L7" s="131"/>
      <c r="M7" s="381">
        <f>K4+K5</f>
        <v>32900</v>
      </c>
      <c r="N7" s="130"/>
      <c r="O7" s="130"/>
    </row>
    <row r="8" spans="1:15" ht="11.25" customHeight="1">
      <c r="A8" s="133"/>
      <c r="B8" s="130"/>
      <c r="C8" s="147"/>
      <c r="D8" s="385" t="s">
        <v>100</v>
      </c>
      <c r="E8" s="385" t="s">
        <v>523</v>
      </c>
      <c r="F8" s="152" t="s">
        <v>524</v>
      </c>
      <c r="G8" s="138"/>
      <c r="I8" s="136"/>
      <c r="K8" s="130">
        <v>-10798</v>
      </c>
      <c r="L8" s="131" t="s">
        <v>373</v>
      </c>
      <c r="M8" s="142" t="s">
        <v>514</v>
      </c>
      <c r="N8" s="130"/>
      <c r="O8" s="130"/>
    </row>
    <row r="9" spans="1:15" ht="11.25" customHeight="1">
      <c r="A9" s="141"/>
      <c r="B9" s="130"/>
      <c r="C9" s="130"/>
      <c r="G9" s="130"/>
      <c r="H9" s="138"/>
      <c r="K9" s="131">
        <f>SUM(K7:K8)</f>
        <v>82295</v>
      </c>
      <c r="L9" s="131" t="s">
        <v>141</v>
      </c>
      <c r="M9" s="131">
        <f>18000</f>
        <v>18000</v>
      </c>
      <c r="N9" s="130"/>
      <c r="O9" s="130"/>
    </row>
    <row r="10" spans="1:15" ht="11.25" customHeight="1">
      <c r="A10" s="257" t="s">
        <v>296</v>
      </c>
      <c r="B10" s="144"/>
      <c r="C10" s="162" t="s">
        <v>374</v>
      </c>
      <c r="D10" s="162" t="s">
        <v>365</v>
      </c>
      <c r="E10" s="162" t="s">
        <v>355</v>
      </c>
      <c r="F10" s="162" t="s">
        <v>6</v>
      </c>
      <c r="G10" s="164" t="s">
        <v>375</v>
      </c>
      <c r="H10" s="145" t="s">
        <v>376</v>
      </c>
      <c r="I10" s="136"/>
      <c r="J10" s="144" t="s">
        <v>214</v>
      </c>
      <c r="K10" s="143"/>
      <c r="L10" s="143"/>
      <c r="M10" s="131">
        <v>4000</v>
      </c>
      <c r="N10" s="146"/>
      <c r="O10" s="146"/>
    </row>
    <row r="11" spans="1:14" ht="11.25" customHeight="1">
      <c r="A11" s="64"/>
      <c r="B11" s="139"/>
      <c r="C11" s="139">
        <v>63985</v>
      </c>
      <c r="D11" s="139">
        <f>340*37</f>
        <v>12580</v>
      </c>
      <c r="E11" s="139">
        <f>47*340</f>
        <v>15980</v>
      </c>
      <c r="F11" s="258">
        <f>C11-D11-E11</f>
        <v>35425</v>
      </c>
      <c r="G11" s="152">
        <f>D11+E11</f>
        <v>28560</v>
      </c>
      <c r="H11" s="259" t="s">
        <v>377</v>
      </c>
      <c r="I11" s="135">
        <v>7700</v>
      </c>
      <c r="J11" s="135">
        <v>18000</v>
      </c>
      <c r="K11" s="139"/>
      <c r="L11" s="165" t="s">
        <v>515</v>
      </c>
      <c r="M11" s="153">
        <f>M7+M9+M10</f>
        <v>54900</v>
      </c>
      <c r="N11" s="146"/>
    </row>
    <row r="12" spans="1:15" ht="11.25" customHeight="1">
      <c r="A12" s="133"/>
      <c r="B12" s="130"/>
      <c r="D12" s="130" t="s">
        <v>521</v>
      </c>
      <c r="E12" s="130" t="s">
        <v>520</v>
      </c>
      <c r="H12" s="148"/>
      <c r="I12" s="141" t="s">
        <v>378</v>
      </c>
      <c r="J12" s="130" t="s">
        <v>379</v>
      </c>
      <c r="L12" s="130"/>
      <c r="M12" s="381" t="s">
        <v>518</v>
      </c>
      <c r="N12" s="146"/>
      <c r="O12" s="146"/>
    </row>
    <row r="13" spans="1:15" ht="11.25" customHeight="1">
      <c r="A13" s="141"/>
      <c r="B13" s="130"/>
      <c r="C13" s="130"/>
      <c r="D13" s="149"/>
      <c r="G13" s="130"/>
      <c r="H13" s="130"/>
      <c r="I13" s="141"/>
      <c r="N13" s="146"/>
      <c r="O13" s="146"/>
    </row>
    <row r="14" spans="5:15" ht="11.25" customHeight="1">
      <c r="E14" s="371"/>
      <c r="G14" s="130"/>
      <c r="H14" s="130"/>
      <c r="I14" s="141"/>
      <c r="N14" s="146"/>
      <c r="O14" s="146"/>
    </row>
    <row r="15" spans="1:15" ht="11.25" customHeight="1">
      <c r="A15" s="130"/>
      <c r="B15" s="130"/>
      <c r="C15" s="131" t="s">
        <v>482</v>
      </c>
      <c r="D15" s="131" t="s">
        <v>482</v>
      </c>
      <c r="E15" s="131" t="s">
        <v>482</v>
      </c>
      <c r="F15" s="131" t="s">
        <v>482</v>
      </c>
      <c r="G15" s="135" t="s">
        <v>140</v>
      </c>
      <c r="H15" s="372" t="s">
        <v>489</v>
      </c>
      <c r="I15" s="383"/>
      <c r="J15" s="638" t="s">
        <v>69</v>
      </c>
      <c r="K15" s="639"/>
      <c r="L15" s="131">
        <v>37381</v>
      </c>
      <c r="M15" s="131" t="s">
        <v>499</v>
      </c>
      <c r="N15" s="146"/>
      <c r="O15" s="146"/>
    </row>
    <row r="16" spans="1:15" ht="11.25" customHeight="1">
      <c r="A16" s="130"/>
      <c r="B16" s="130"/>
      <c r="C16" s="130">
        <v>700</v>
      </c>
      <c r="D16" s="130">
        <v>700</v>
      </c>
      <c r="E16" s="130">
        <v>700</v>
      </c>
      <c r="F16" s="139">
        <v>1000</v>
      </c>
      <c r="G16" s="159" t="s">
        <v>491</v>
      </c>
      <c r="H16" s="159" t="s">
        <v>491</v>
      </c>
      <c r="I16" s="372" t="s">
        <v>493</v>
      </c>
      <c r="J16" s="2">
        <v>37381</v>
      </c>
      <c r="K16" s="11">
        <f>777+749</f>
        <v>1526</v>
      </c>
      <c r="L16" s="131">
        <v>763</v>
      </c>
      <c r="M16" s="382" t="s">
        <v>213</v>
      </c>
      <c r="N16" s="146"/>
      <c r="O16" s="146"/>
    </row>
    <row r="17" spans="1:15" ht="11.25" customHeight="1">
      <c r="A17" s="64" t="s">
        <v>481</v>
      </c>
      <c r="B17" s="131"/>
      <c r="C17" s="200" t="s">
        <v>475</v>
      </c>
      <c r="D17" s="200" t="s">
        <v>474</v>
      </c>
      <c r="E17" s="200" t="s">
        <v>476</v>
      </c>
      <c r="F17" s="200" t="s">
        <v>477</v>
      </c>
      <c r="G17" s="164" t="s">
        <v>484</v>
      </c>
      <c r="H17" s="217" t="s">
        <v>485</v>
      </c>
      <c r="I17" s="372" t="s">
        <v>167</v>
      </c>
      <c r="J17" s="2">
        <v>13843</v>
      </c>
      <c r="K17" s="11"/>
      <c r="L17" s="135">
        <f>L15-L16</f>
        <v>36618</v>
      </c>
      <c r="M17" s="153" t="s">
        <v>500</v>
      </c>
      <c r="N17" s="146"/>
      <c r="O17" s="146"/>
    </row>
    <row r="18" spans="1:15" ht="11.25" customHeight="1">
      <c r="A18" s="133"/>
      <c r="B18" s="130" t="s">
        <v>480</v>
      </c>
      <c r="C18" s="131">
        <f>C16*9</f>
        <v>6300</v>
      </c>
      <c r="D18" s="130">
        <f>7*D16</f>
        <v>4900</v>
      </c>
      <c r="E18" s="130">
        <f>31*E16</f>
        <v>21700</v>
      </c>
      <c r="F18" s="131">
        <f>18*F16</f>
        <v>18000</v>
      </c>
      <c r="G18" s="380">
        <f>C18+D18+E18</f>
        <v>32900</v>
      </c>
      <c r="H18" s="168">
        <f>F18</f>
        <v>18000</v>
      </c>
      <c r="I18" s="372">
        <f>SUM(G18:H18)</f>
        <v>50900</v>
      </c>
      <c r="J18" s="2">
        <v>14287</v>
      </c>
      <c r="K18" s="11"/>
      <c r="L18" s="131">
        <f>J17+J18</f>
        <v>28130</v>
      </c>
      <c r="M18" s="130" t="s">
        <v>501</v>
      </c>
      <c r="N18" s="146"/>
      <c r="O18" s="146"/>
    </row>
    <row r="19" spans="3:15" ht="11.25" customHeight="1">
      <c r="C19" s="131" t="s">
        <v>478</v>
      </c>
      <c r="D19" s="131" t="s">
        <v>486</v>
      </c>
      <c r="E19" s="131" t="s">
        <v>487</v>
      </c>
      <c r="F19" s="131" t="s">
        <v>483</v>
      </c>
      <c r="G19" s="134"/>
      <c r="H19" s="155"/>
      <c r="I19" s="148"/>
      <c r="J19" s="2"/>
      <c r="K19" s="11"/>
      <c r="L19" s="131">
        <v>763</v>
      </c>
      <c r="M19" s="130" t="s">
        <v>339</v>
      </c>
      <c r="N19" s="146"/>
      <c r="O19" s="146"/>
    </row>
    <row r="20" spans="1:15" ht="11.25" customHeight="1">
      <c r="A20" s="171" t="s">
        <v>519</v>
      </c>
      <c r="B20" s="131"/>
      <c r="C20" s="131" t="s">
        <v>479</v>
      </c>
      <c r="D20" s="131" t="s">
        <v>479</v>
      </c>
      <c r="E20" s="131" t="s">
        <v>479</v>
      </c>
      <c r="F20" s="143" t="s">
        <v>507</v>
      </c>
      <c r="G20" s="372" t="s">
        <v>488</v>
      </c>
      <c r="H20" s="155"/>
      <c r="I20" s="148"/>
      <c r="J20" s="2"/>
      <c r="K20" s="11"/>
      <c r="L20" s="135">
        <f>L18-L19</f>
        <v>27367</v>
      </c>
      <c r="M20" s="138" t="s">
        <v>500</v>
      </c>
      <c r="N20" s="146"/>
      <c r="O20" s="146"/>
    </row>
    <row r="21" spans="1:15" ht="11.25" customHeight="1">
      <c r="A21" s="130"/>
      <c r="B21" s="130" t="s">
        <v>404</v>
      </c>
      <c r="C21" s="131">
        <f>9*C23</f>
        <v>3060</v>
      </c>
      <c r="D21" s="131">
        <f>7*D23</f>
        <v>2380</v>
      </c>
      <c r="E21" s="131">
        <f>31*E23</f>
        <v>10540</v>
      </c>
      <c r="F21" s="131">
        <v>0</v>
      </c>
      <c r="G21" s="372">
        <f>SUM(C21:F21)</f>
        <v>15980</v>
      </c>
      <c r="H21" s="155"/>
      <c r="I21" s="148"/>
      <c r="J21" s="2"/>
      <c r="K21" s="11"/>
      <c r="L21" s="135">
        <f>L17+L20</f>
        <v>63985</v>
      </c>
      <c r="M21" s="138" t="s">
        <v>502</v>
      </c>
      <c r="N21" s="146"/>
      <c r="O21" s="146"/>
    </row>
    <row r="22" spans="1:13" ht="11.25" customHeight="1">
      <c r="A22" s="130"/>
      <c r="C22" s="130" t="s">
        <v>482</v>
      </c>
      <c r="D22" s="130" t="s">
        <v>482</v>
      </c>
      <c r="E22" s="130" t="s">
        <v>482</v>
      </c>
      <c r="F22" s="131"/>
      <c r="G22" s="372" t="s">
        <v>490</v>
      </c>
      <c r="H22" s="155"/>
      <c r="I22" s="148"/>
      <c r="J22" s="2">
        <f>SUM(J16:J21)</f>
        <v>65511</v>
      </c>
      <c r="K22" s="11">
        <f>J22-K16-K17-K18-K19-K20-K21</f>
        <v>63985</v>
      </c>
      <c r="M22" s="130"/>
    </row>
    <row r="23" spans="1:13" ht="11.25" customHeight="1">
      <c r="A23" s="139"/>
      <c r="C23" s="139">
        <v>340</v>
      </c>
      <c r="D23" s="139">
        <v>340</v>
      </c>
      <c r="E23" s="139">
        <v>340</v>
      </c>
      <c r="F23" s="139"/>
      <c r="G23" s="168" t="s">
        <v>492</v>
      </c>
      <c r="H23" s="168"/>
      <c r="I23" s="372"/>
      <c r="L23" s="131" t="s">
        <v>503</v>
      </c>
      <c r="M23" s="130"/>
    </row>
    <row r="24" spans="1:13" ht="11.25" customHeight="1">
      <c r="A24" s="64"/>
      <c r="B24" s="135" t="s">
        <v>140</v>
      </c>
      <c r="C24" s="135"/>
      <c r="D24" s="135"/>
      <c r="E24" s="138"/>
      <c r="F24" s="135" t="s">
        <v>508</v>
      </c>
      <c r="G24" s="138"/>
      <c r="H24" s="130"/>
      <c r="I24" s="130"/>
      <c r="L24" s="131">
        <f>L17</f>
        <v>36618</v>
      </c>
      <c r="M24" s="138" t="s">
        <v>173</v>
      </c>
    </row>
    <row r="25" spans="1:13" ht="11.25" customHeight="1">
      <c r="A25" s="133"/>
      <c r="B25" s="135" t="s">
        <v>506</v>
      </c>
      <c r="C25" s="135">
        <f>C18+C21</f>
        <v>9360</v>
      </c>
      <c r="D25" s="135">
        <f>D18+D21</f>
        <v>7280</v>
      </c>
      <c r="E25" s="135">
        <f>E18+E21</f>
        <v>32240</v>
      </c>
      <c r="F25" s="165">
        <f>F18+F21</f>
        <v>18000</v>
      </c>
      <c r="G25" s="135">
        <f>G18+G21</f>
        <v>48880</v>
      </c>
      <c r="H25" s="135">
        <f>H18+H21</f>
        <v>18000</v>
      </c>
      <c r="I25" s="135">
        <f>I18+I21</f>
        <v>50900</v>
      </c>
      <c r="K25" s="373"/>
      <c r="L25" s="370">
        <f>L30</f>
        <v>28560</v>
      </c>
      <c r="M25" s="138" t="s">
        <v>504</v>
      </c>
    </row>
    <row r="26" spans="1:13" ht="11.25" customHeight="1">
      <c r="A26" s="141"/>
      <c r="E26" s="130"/>
      <c r="G26" s="130"/>
      <c r="K26" s="130"/>
      <c r="L26" s="241">
        <f>L24-L25</f>
        <v>8058</v>
      </c>
      <c r="M26" s="130"/>
    </row>
    <row r="27" spans="1:13" ht="11.25" customHeight="1">
      <c r="A27" s="130"/>
      <c r="B27" s="130"/>
      <c r="C27" s="130"/>
      <c r="D27" s="130"/>
      <c r="E27" s="130"/>
      <c r="G27" s="130"/>
      <c r="K27" s="182"/>
      <c r="L27" s="130"/>
      <c r="M27" s="130"/>
    </row>
    <row r="28" spans="2:13" ht="11.25" customHeight="1">
      <c r="B28" s="130"/>
      <c r="C28" s="130"/>
      <c r="D28" s="130"/>
      <c r="F28" s="130"/>
      <c r="G28" s="130"/>
      <c r="J28" s="130">
        <v>63985</v>
      </c>
      <c r="K28" s="141" t="s">
        <v>494</v>
      </c>
      <c r="L28" s="130"/>
      <c r="M28" s="130"/>
    </row>
    <row r="29" spans="1:13" ht="11.25" customHeight="1">
      <c r="A29" s="130"/>
      <c r="B29" s="130"/>
      <c r="C29" s="130"/>
      <c r="D29" s="130"/>
      <c r="E29" s="130"/>
      <c r="F29" s="130"/>
      <c r="G29" s="130"/>
      <c r="J29" s="146">
        <f>340*37</f>
        <v>12580</v>
      </c>
      <c r="K29" s="130" t="s">
        <v>495</v>
      </c>
      <c r="L29" s="242" t="s">
        <v>505</v>
      </c>
      <c r="M29" s="130"/>
    </row>
    <row r="30" spans="1:13" ht="11.25" customHeight="1">
      <c r="A30" s="131"/>
      <c r="B30" s="388" t="s">
        <v>103</v>
      </c>
      <c r="C30" s="130"/>
      <c r="D30" s="130"/>
      <c r="E30" s="130"/>
      <c r="F30" s="130"/>
      <c r="G30" s="130"/>
      <c r="J30" s="146">
        <f>G21</f>
        <v>15980</v>
      </c>
      <c r="K30" s="144" t="s">
        <v>496</v>
      </c>
      <c r="L30" s="242">
        <f>J29+J30</f>
        <v>28560</v>
      </c>
      <c r="M30" s="146"/>
    </row>
    <row r="31" spans="1:13" ht="11.25" customHeight="1">
      <c r="A31" s="131"/>
      <c r="B31" s="390" t="s">
        <v>544</v>
      </c>
      <c r="C31" s="130" t="s">
        <v>543</v>
      </c>
      <c r="D31" s="130"/>
      <c r="E31" s="389" t="s">
        <v>43</v>
      </c>
      <c r="F31" s="130"/>
      <c r="G31" s="130"/>
      <c r="H31" s="130"/>
      <c r="I31" s="130"/>
      <c r="J31" s="138">
        <f>J28-J29-J30</f>
        <v>35425</v>
      </c>
      <c r="K31" s="135" t="s">
        <v>6</v>
      </c>
      <c r="M31" s="130"/>
    </row>
    <row r="32" spans="1:12" s="130" customFormat="1" ht="11.25" customHeight="1">
      <c r="A32" s="130"/>
      <c r="B32" s="391">
        <f>M11</f>
        <v>54900</v>
      </c>
      <c r="C32" s="387">
        <f>11000</f>
        <v>11000</v>
      </c>
      <c r="D32" s="387"/>
      <c r="E32" s="392">
        <f>SUM(B32:D32)</f>
        <v>65900</v>
      </c>
      <c r="J32" s="130">
        <v>43215</v>
      </c>
      <c r="K32" s="131" t="s">
        <v>497</v>
      </c>
      <c r="L32" s="142"/>
    </row>
    <row r="33" spans="1:13" ht="11.25" customHeight="1">
      <c r="A33" s="131"/>
      <c r="B33" s="390" t="s">
        <v>551</v>
      </c>
      <c r="C33" s="130"/>
      <c r="D33" s="130"/>
      <c r="E33" s="389">
        <v>10000</v>
      </c>
      <c r="F33" s="130"/>
      <c r="G33" s="130"/>
      <c r="I33" s="130"/>
      <c r="J33" s="130">
        <f>J32-J31</f>
        <v>7790</v>
      </c>
      <c r="K33" s="130" t="s">
        <v>498</v>
      </c>
      <c r="L33" s="130"/>
      <c r="M33" s="130"/>
    </row>
    <row r="34" spans="1:13" ht="11.25" customHeight="1">
      <c r="A34" s="131"/>
      <c r="B34" s="131" t="s">
        <v>982</v>
      </c>
      <c r="C34" s="131"/>
      <c r="D34" s="131" t="s">
        <v>214</v>
      </c>
      <c r="E34" s="170">
        <v>4000</v>
      </c>
      <c r="F34" s="130"/>
      <c r="G34" s="130"/>
      <c r="I34" s="130"/>
      <c r="J34" s="130"/>
      <c r="K34" s="130"/>
      <c r="L34" s="130"/>
      <c r="M34" s="130"/>
    </row>
    <row r="35" spans="1:13" ht="11.25" customHeight="1">
      <c r="A35" s="131"/>
      <c r="B35" s="393" t="s">
        <v>269</v>
      </c>
      <c r="C35" s="130"/>
      <c r="D35" s="130"/>
      <c r="E35" s="392">
        <v>79154</v>
      </c>
      <c r="F35" s="130"/>
      <c r="G35" s="130"/>
      <c r="I35" s="130"/>
      <c r="J35" s="130">
        <v>7700</v>
      </c>
      <c r="K35" s="131"/>
      <c r="L35" s="130" t="s">
        <v>509</v>
      </c>
      <c r="M35" s="130"/>
    </row>
    <row r="36" spans="1:13" ht="11.25" customHeight="1">
      <c r="A36" s="131"/>
      <c r="B36" s="394" t="s">
        <v>157</v>
      </c>
      <c r="C36" s="138"/>
      <c r="D36" s="138"/>
      <c r="E36" s="392">
        <v>318572</v>
      </c>
      <c r="F36" s="130"/>
      <c r="G36" s="130"/>
      <c r="H36" s="130"/>
      <c r="I36" s="130"/>
      <c r="J36" s="130">
        <v>27363</v>
      </c>
      <c r="K36" s="131"/>
      <c r="L36" s="138">
        <v>35063</v>
      </c>
      <c r="M36" s="146"/>
    </row>
    <row r="37" spans="1:13" ht="11.25" customHeight="1">
      <c r="A37" s="130"/>
      <c r="B37" s="395"/>
      <c r="C37" s="130"/>
      <c r="D37" s="130"/>
      <c r="E37" s="389"/>
      <c r="F37" s="130"/>
      <c r="G37" s="130"/>
      <c r="H37" s="130"/>
      <c r="I37" s="130"/>
      <c r="J37" s="130">
        <f>SUM(J35:J36)</f>
        <v>35063</v>
      </c>
      <c r="K37" s="131"/>
      <c r="L37" s="130" t="s">
        <v>510</v>
      </c>
      <c r="M37" s="130"/>
    </row>
    <row r="38" spans="1:13" ht="11.25" customHeight="1" thickBot="1">
      <c r="A38" s="130"/>
      <c r="B38" s="396"/>
      <c r="C38" s="218"/>
      <c r="D38" s="218"/>
      <c r="E38" s="397">
        <f>SUM(E32:E36)</f>
        <v>477626</v>
      </c>
      <c r="F38" s="130"/>
      <c r="G38" s="130"/>
      <c r="H38" s="130"/>
      <c r="I38" s="130"/>
      <c r="J38" s="130"/>
      <c r="K38" s="130"/>
      <c r="M38" s="130"/>
    </row>
    <row r="39" spans="1:13" ht="9.75" customHeight="1">
      <c r="A39" s="130"/>
      <c r="B39" s="130"/>
      <c r="C39" s="146"/>
      <c r="D39" s="146"/>
      <c r="E39" s="130"/>
      <c r="F39" s="130"/>
      <c r="G39" s="130"/>
      <c r="H39" s="371"/>
      <c r="I39" s="371"/>
      <c r="J39" s="130"/>
      <c r="K39" s="130"/>
      <c r="L39" s="130"/>
      <c r="M39" s="130"/>
    </row>
    <row r="40" spans="1:13" s="135" customFormat="1" ht="9.75" customHeight="1">
      <c r="A40" s="371"/>
      <c r="B40" s="371" t="s">
        <v>525</v>
      </c>
      <c r="C40" s="371" t="s">
        <v>526</v>
      </c>
      <c r="F40" s="371" t="s">
        <v>527</v>
      </c>
      <c r="G40" s="371" t="s">
        <v>528</v>
      </c>
      <c r="H40" s="371"/>
      <c r="J40" s="371" t="s">
        <v>530</v>
      </c>
      <c r="K40" s="371"/>
      <c r="M40" s="371" t="s">
        <v>529</v>
      </c>
    </row>
    <row r="41" spans="1:13" ht="9.75" customHeight="1">
      <c r="A41" s="146"/>
      <c r="B41" s="146"/>
      <c r="C41" s="146"/>
      <c r="D41" s="146"/>
      <c r="E41" s="146" t="s">
        <v>531</v>
      </c>
      <c r="F41" s="146"/>
      <c r="G41" s="146"/>
      <c r="H41" s="377"/>
      <c r="I41" s="146"/>
      <c r="J41" s="146"/>
      <c r="K41" s="146"/>
      <c r="L41" s="146"/>
      <c r="M41" s="146"/>
    </row>
    <row r="42" spans="1:13" ht="9.75" customHeight="1">
      <c r="A42" s="131"/>
      <c r="B42" s="146" t="s">
        <v>404</v>
      </c>
      <c r="C42" s="146" t="s">
        <v>532</v>
      </c>
      <c r="D42" s="146" t="s">
        <v>533</v>
      </c>
      <c r="E42" s="146"/>
      <c r="F42" s="146"/>
      <c r="G42" s="146"/>
      <c r="H42" s="146"/>
      <c r="I42" s="146"/>
      <c r="J42" s="379" t="s">
        <v>541</v>
      </c>
      <c r="K42" s="146"/>
      <c r="L42" s="146" t="s">
        <v>534</v>
      </c>
      <c r="M42" s="146"/>
    </row>
    <row r="43" spans="1:13" ht="9.75" customHeight="1">
      <c r="A43" s="384">
        <v>1</v>
      </c>
      <c r="B43" s="146">
        <v>340</v>
      </c>
      <c r="C43" s="146">
        <v>546</v>
      </c>
      <c r="D43" s="146">
        <f>SUM(B43:C43)</f>
        <v>886</v>
      </c>
      <c r="E43" s="146"/>
      <c r="F43" s="146"/>
      <c r="G43" s="146"/>
      <c r="H43" s="146"/>
      <c r="I43" s="146"/>
      <c r="J43" s="146">
        <v>604</v>
      </c>
      <c r="K43" s="146"/>
      <c r="L43" s="146" t="s">
        <v>535</v>
      </c>
      <c r="M43" s="146" t="s">
        <v>510</v>
      </c>
    </row>
    <row r="44" spans="1:13" ht="9.75" customHeight="1">
      <c r="A44" s="384">
        <v>2</v>
      </c>
      <c r="B44" s="146">
        <v>340</v>
      </c>
      <c r="C44" s="146">
        <v>546</v>
      </c>
      <c r="D44" s="146">
        <f>SUM(B44:C44)</f>
        <v>886</v>
      </c>
      <c r="E44" s="146"/>
      <c r="F44" s="146"/>
      <c r="G44" s="146"/>
      <c r="H44" s="146"/>
      <c r="I44" s="146"/>
      <c r="J44" s="146">
        <v>500</v>
      </c>
      <c r="K44" s="146"/>
      <c r="L44" s="146"/>
      <c r="M44" s="378">
        <v>344</v>
      </c>
    </row>
    <row r="45" spans="1:13" ht="9.75" customHeight="1">
      <c r="A45" s="384">
        <v>3</v>
      </c>
      <c r="B45" s="146">
        <v>340</v>
      </c>
      <c r="C45" s="146">
        <v>546</v>
      </c>
      <c r="D45" s="146">
        <f>SUM(B45:C45)</f>
        <v>886</v>
      </c>
      <c r="E45" s="146"/>
      <c r="F45" s="146"/>
      <c r="G45" s="146"/>
      <c r="H45" s="146"/>
      <c r="I45" s="146"/>
      <c r="J45" s="376">
        <v>535</v>
      </c>
      <c r="K45" s="146"/>
      <c r="L45" s="146"/>
      <c r="M45" s="146" t="s">
        <v>536</v>
      </c>
    </row>
    <row r="46" spans="1:13" ht="9.75" customHeight="1">
      <c r="A46" s="146">
        <v>4</v>
      </c>
      <c r="B46" s="146">
        <v>340</v>
      </c>
      <c r="C46" s="146">
        <v>546</v>
      </c>
      <c r="D46" s="146">
        <f>SUM(B46:C46)</f>
        <v>886</v>
      </c>
      <c r="E46" s="146"/>
      <c r="F46" s="146"/>
      <c r="G46" s="146"/>
      <c r="H46" s="146"/>
      <c r="I46" s="146"/>
      <c r="J46" s="146">
        <f>SUM(J43:J45)</f>
        <v>1639</v>
      </c>
      <c r="K46" s="146"/>
      <c r="L46" s="376"/>
      <c r="M46" s="376">
        <v>600</v>
      </c>
    </row>
    <row r="47" spans="1:13" ht="9.75" customHeight="1">
      <c r="A47" s="146">
        <v>5</v>
      </c>
      <c r="B47" s="146">
        <v>340</v>
      </c>
      <c r="C47" s="146">
        <v>546</v>
      </c>
      <c r="D47" s="146">
        <f>SUM(B47:C47)</f>
        <v>886</v>
      </c>
      <c r="E47" s="146"/>
      <c r="F47" s="146"/>
      <c r="G47" s="146"/>
      <c r="H47" s="146"/>
      <c r="I47" s="146"/>
      <c r="J47" s="146">
        <v>3</v>
      </c>
      <c r="K47" s="146"/>
      <c r="L47" s="146" t="s">
        <v>537</v>
      </c>
      <c r="M47" s="146" t="s">
        <v>510</v>
      </c>
    </row>
    <row r="48" spans="1:13" ht="9.75" customHeight="1">
      <c r="A48" s="146">
        <v>6</v>
      </c>
      <c r="B48" s="146">
        <v>340</v>
      </c>
      <c r="C48" s="146">
        <v>546</v>
      </c>
      <c r="D48" s="146">
        <f>SUM(B48:C48)</f>
        <v>886</v>
      </c>
      <c r="J48" s="131">
        <f>J46/J47</f>
        <v>546.3333333333334</v>
      </c>
      <c r="M48" s="131">
        <v>220</v>
      </c>
    </row>
    <row r="49" spans="1:13" ht="9.75" customHeight="1">
      <c r="A49" s="131">
        <v>7</v>
      </c>
      <c r="B49" s="146">
        <v>340</v>
      </c>
      <c r="C49" s="146">
        <v>546</v>
      </c>
      <c r="D49" s="146">
        <f>SUM(B49:C49)</f>
        <v>886</v>
      </c>
      <c r="H49" s="135"/>
      <c r="L49" s="130"/>
      <c r="M49" s="130" t="s">
        <v>536</v>
      </c>
    </row>
    <row r="50" spans="1:13" ht="9.75" customHeight="1">
      <c r="A50" s="131">
        <v>8</v>
      </c>
      <c r="B50" s="146">
        <v>340</v>
      </c>
      <c r="C50" s="146">
        <v>546</v>
      </c>
      <c r="D50" s="146">
        <f>SUM(B50:C50)</f>
        <v>886</v>
      </c>
      <c r="H50" s="130"/>
      <c r="I50" s="130"/>
      <c r="J50" s="130"/>
      <c r="K50" s="130"/>
      <c r="L50" s="139"/>
      <c r="M50" s="139">
        <v>600</v>
      </c>
    </row>
    <row r="51" spans="1:13" ht="9.75" customHeight="1">
      <c r="A51" s="131">
        <v>9</v>
      </c>
      <c r="B51" s="146">
        <v>340</v>
      </c>
      <c r="C51" s="146">
        <v>546</v>
      </c>
      <c r="D51" s="146">
        <f>SUM(B51:C51)</f>
        <v>886</v>
      </c>
      <c r="H51" s="130"/>
      <c r="I51" s="130"/>
      <c r="J51" s="130"/>
      <c r="K51" s="130"/>
      <c r="L51" s="130" t="s">
        <v>538</v>
      </c>
      <c r="M51" s="131" t="s">
        <v>510</v>
      </c>
    </row>
    <row r="52" spans="1:13" ht="9.75" customHeight="1">
      <c r="A52" s="131">
        <v>10</v>
      </c>
      <c r="B52" s="146">
        <v>340</v>
      </c>
      <c r="C52" s="146">
        <v>546</v>
      </c>
      <c r="D52" s="146">
        <f>SUM(B52:C52)</f>
        <v>886</v>
      </c>
      <c r="H52" s="130"/>
      <c r="I52" s="130"/>
      <c r="J52" s="130"/>
      <c r="K52" s="130"/>
      <c r="L52" s="130"/>
      <c r="M52" s="131">
        <v>275</v>
      </c>
    </row>
    <row r="53" spans="1:13" ht="9.75" customHeight="1">
      <c r="A53" s="131">
        <v>11</v>
      </c>
      <c r="B53" s="146">
        <v>340</v>
      </c>
      <c r="C53" s="146">
        <v>546</v>
      </c>
      <c r="D53" s="146">
        <f>SUM(B53:C53)</f>
        <v>886</v>
      </c>
      <c r="H53" s="130"/>
      <c r="I53" s="130"/>
      <c r="J53" s="130"/>
      <c r="K53" s="130"/>
      <c r="L53" s="130"/>
      <c r="M53" s="131" t="s">
        <v>536</v>
      </c>
    </row>
    <row r="54" spans="1:13" ht="9.75" customHeight="1">
      <c r="A54" s="131">
        <v>12</v>
      </c>
      <c r="B54" s="146">
        <v>340</v>
      </c>
      <c r="C54" s="146">
        <v>546</v>
      </c>
      <c r="D54" s="146">
        <f>SUM(B54:C54)</f>
        <v>886</v>
      </c>
      <c r="H54" s="130"/>
      <c r="I54" s="130"/>
      <c r="J54" s="130"/>
      <c r="K54" s="130"/>
      <c r="L54" s="130"/>
      <c r="M54" s="131">
        <v>600</v>
      </c>
    </row>
    <row r="55" spans="1:13" ht="9.75" customHeight="1">
      <c r="A55" s="131">
        <v>13</v>
      </c>
      <c r="B55" s="146">
        <v>340</v>
      </c>
      <c r="C55" s="146">
        <v>546</v>
      </c>
      <c r="D55" s="146">
        <f>SUM(B55:C55)</f>
        <v>886</v>
      </c>
      <c r="H55" s="130"/>
      <c r="I55" s="130"/>
      <c r="J55" s="130"/>
      <c r="K55" s="130"/>
      <c r="L55" s="130" t="s">
        <v>539</v>
      </c>
      <c r="M55" s="131"/>
    </row>
    <row r="56" spans="1:13" ht="9.75" customHeight="1">
      <c r="A56" s="131">
        <v>14</v>
      </c>
      <c r="B56" s="146">
        <v>340</v>
      </c>
      <c r="C56" s="146">
        <v>546</v>
      </c>
      <c r="D56" s="146">
        <f>SUM(B56:C56)</f>
        <v>886</v>
      </c>
      <c r="H56" s="130"/>
      <c r="I56" s="130"/>
      <c r="J56" s="130"/>
      <c r="K56" s="130"/>
      <c r="L56" s="130">
        <v>9250</v>
      </c>
      <c r="M56" s="131"/>
    </row>
    <row r="57" spans="1:13" ht="9.75" customHeight="1">
      <c r="A57" s="131">
        <v>15</v>
      </c>
      <c r="B57" s="146">
        <v>340</v>
      </c>
      <c r="C57" s="146">
        <v>546</v>
      </c>
      <c r="D57" s="146">
        <f>SUM(B57:C57)</f>
        <v>886</v>
      </c>
      <c r="H57" s="130"/>
      <c r="I57" s="130"/>
      <c r="J57" s="130"/>
      <c r="K57" s="130"/>
      <c r="L57" s="130" t="s">
        <v>540</v>
      </c>
      <c r="M57" s="131"/>
    </row>
    <row r="58" spans="1:13" ht="9.75" customHeight="1">
      <c r="A58" s="131">
        <v>16</v>
      </c>
      <c r="B58" s="146">
        <v>340</v>
      </c>
      <c r="C58" s="146">
        <v>546</v>
      </c>
      <c r="D58" s="146">
        <f>SUM(B58:C58)</f>
        <v>886</v>
      </c>
      <c r="H58" s="130"/>
      <c r="I58" s="130"/>
      <c r="J58" s="130"/>
      <c r="K58" s="130"/>
      <c r="L58" s="130">
        <v>23310</v>
      </c>
      <c r="M58" s="131"/>
    </row>
    <row r="59" spans="1:12" ht="9.75" customHeight="1">
      <c r="A59" s="131">
        <v>17</v>
      </c>
      <c r="B59" s="146">
        <v>340</v>
      </c>
      <c r="C59" s="146">
        <v>546</v>
      </c>
      <c r="D59" s="146">
        <f>SUM(B59:C59)</f>
        <v>886</v>
      </c>
      <c r="H59" s="130"/>
      <c r="I59" s="130"/>
      <c r="J59" s="130"/>
      <c r="K59" s="130"/>
      <c r="L59" s="130"/>
    </row>
    <row r="60" spans="1:12" ht="9.75" customHeight="1">
      <c r="A60" s="131">
        <v>18</v>
      </c>
      <c r="B60" s="146">
        <v>340</v>
      </c>
      <c r="C60" s="146">
        <v>546</v>
      </c>
      <c r="D60" s="146">
        <f>SUM(B60:C60)</f>
        <v>886</v>
      </c>
      <c r="H60" s="130"/>
      <c r="I60" s="130"/>
      <c r="J60" s="130"/>
      <c r="K60" s="130"/>
      <c r="L60" s="130"/>
    </row>
    <row r="61" spans="1:12" ht="9.75" customHeight="1">
      <c r="A61" s="131">
        <v>19</v>
      </c>
      <c r="B61" s="146">
        <v>340</v>
      </c>
      <c r="C61" s="146">
        <v>546</v>
      </c>
      <c r="D61" s="146">
        <f>SUM(B61:C61)</f>
        <v>886</v>
      </c>
      <c r="H61" s="130"/>
      <c r="I61" s="130"/>
      <c r="J61" s="130"/>
      <c r="K61" s="130"/>
      <c r="L61" s="130"/>
    </row>
    <row r="62" spans="1:12" ht="9.75" customHeight="1">
      <c r="A62" s="131">
        <v>20</v>
      </c>
      <c r="B62" s="146">
        <v>340</v>
      </c>
      <c r="C62" s="146">
        <v>546</v>
      </c>
      <c r="D62" s="146">
        <f>SUM(B62:C62)</f>
        <v>886</v>
      </c>
      <c r="H62" s="130"/>
      <c r="I62" s="130"/>
      <c r="J62" s="130"/>
      <c r="K62" s="130"/>
      <c r="L62" s="130"/>
    </row>
    <row r="63" spans="1:4" ht="9.75" customHeight="1">
      <c r="A63" s="131">
        <v>21</v>
      </c>
      <c r="B63" s="146">
        <v>340</v>
      </c>
      <c r="C63" s="146">
        <v>546</v>
      </c>
      <c r="D63" s="146">
        <f>SUM(B63:C63)</f>
        <v>886</v>
      </c>
    </row>
    <row r="64" spans="1:4" ht="9.75" customHeight="1">
      <c r="A64" s="131">
        <v>22</v>
      </c>
      <c r="B64" s="146">
        <v>340</v>
      </c>
      <c r="C64" s="146">
        <v>546</v>
      </c>
      <c r="D64" s="146">
        <f>SUM(B64:C64)</f>
        <v>886</v>
      </c>
    </row>
    <row r="65" spans="1:4" ht="9.75" customHeight="1">
      <c r="A65" s="131">
        <v>23</v>
      </c>
      <c r="B65" s="146">
        <v>340</v>
      </c>
      <c r="C65" s="146">
        <v>546</v>
      </c>
      <c r="D65" s="146">
        <f>SUM(B65:C65)</f>
        <v>886</v>
      </c>
    </row>
    <row r="66" spans="1:4" ht="9.75" customHeight="1">
      <c r="A66" s="131">
        <v>24</v>
      </c>
      <c r="B66" s="146">
        <v>340</v>
      </c>
      <c r="C66" s="146">
        <v>546</v>
      </c>
      <c r="D66" s="146">
        <f>SUM(B66:C66)</f>
        <v>886</v>
      </c>
    </row>
    <row r="67" spans="1:4" ht="9.75" customHeight="1">
      <c r="A67" s="131">
        <v>25</v>
      </c>
      <c r="B67" s="146">
        <v>340</v>
      </c>
      <c r="C67" s="146">
        <v>546</v>
      </c>
      <c r="D67" s="146">
        <f>SUM(B67:C67)</f>
        <v>886</v>
      </c>
    </row>
    <row r="68" spans="1:4" ht="9.75" customHeight="1">
      <c r="A68" s="131">
        <v>26</v>
      </c>
      <c r="B68" s="146">
        <v>340</v>
      </c>
      <c r="C68" s="146">
        <v>546</v>
      </c>
      <c r="D68" s="146">
        <f>SUM(B68:C68)</f>
        <v>886</v>
      </c>
    </row>
    <row r="69" spans="1:4" ht="9.75" customHeight="1">
      <c r="A69" s="131">
        <v>27</v>
      </c>
      <c r="B69" s="146">
        <v>340</v>
      </c>
      <c r="C69" s="146">
        <v>546</v>
      </c>
      <c r="D69" s="146">
        <f>SUM(B69:C69)</f>
        <v>886</v>
      </c>
    </row>
    <row r="70" spans="1:4" ht="9.75" customHeight="1">
      <c r="A70" s="131">
        <v>28</v>
      </c>
      <c r="B70" s="146">
        <v>340</v>
      </c>
      <c r="C70" s="146">
        <v>546</v>
      </c>
      <c r="D70" s="146">
        <f>SUM(B70:C70)</f>
        <v>886</v>
      </c>
    </row>
    <row r="71" spans="1:4" ht="9.75" customHeight="1">
      <c r="A71" s="131">
        <v>29</v>
      </c>
      <c r="B71" s="146">
        <v>340</v>
      </c>
      <c r="C71" s="146">
        <v>546</v>
      </c>
      <c r="D71" s="146">
        <f>SUM(B71:C71)</f>
        <v>886</v>
      </c>
    </row>
    <row r="72" spans="1:4" ht="9.75" customHeight="1">
      <c r="A72" s="131">
        <v>30</v>
      </c>
      <c r="B72" s="146">
        <v>340</v>
      </c>
      <c r="C72" s="146">
        <v>546</v>
      </c>
      <c r="D72" s="146">
        <f>SUM(B72:C72)</f>
        <v>886</v>
      </c>
    </row>
    <row r="73" spans="1:4" ht="9.75" customHeight="1">
      <c r="A73" s="131">
        <v>31</v>
      </c>
      <c r="B73" s="146">
        <v>340</v>
      </c>
      <c r="C73" s="146">
        <v>546</v>
      </c>
      <c r="D73" s="146">
        <f>SUM(B73:C73)</f>
        <v>886</v>
      </c>
    </row>
    <row r="74" spans="1:4" ht="9.75" customHeight="1">
      <c r="A74" s="131">
        <v>32</v>
      </c>
      <c r="B74" s="146">
        <v>340</v>
      </c>
      <c r="C74" s="146">
        <v>546</v>
      </c>
      <c r="D74" s="146">
        <f>SUM(B74:C74)</f>
        <v>886</v>
      </c>
    </row>
    <row r="75" spans="1:4" ht="9.75" customHeight="1">
      <c r="A75" s="131">
        <v>33</v>
      </c>
      <c r="B75" s="146">
        <v>340</v>
      </c>
      <c r="C75" s="146">
        <v>546</v>
      </c>
      <c r="D75" s="146">
        <f>SUM(B75:C75)</f>
        <v>886</v>
      </c>
    </row>
    <row r="76" spans="1:4" ht="9.75" customHeight="1">
      <c r="A76" s="131">
        <v>34</v>
      </c>
      <c r="B76" s="146">
        <v>340</v>
      </c>
      <c r="C76" s="146">
        <v>546</v>
      </c>
      <c r="D76" s="146">
        <f>SUM(B76:C76)</f>
        <v>886</v>
      </c>
    </row>
    <row r="77" spans="1:4" ht="9.75" customHeight="1">
      <c r="A77" s="131">
        <v>35</v>
      </c>
      <c r="B77" s="146">
        <v>340</v>
      </c>
      <c r="C77" s="146">
        <v>546</v>
      </c>
      <c r="D77" s="146">
        <f>SUM(B77:C77)</f>
        <v>886</v>
      </c>
    </row>
    <row r="78" spans="1:4" ht="9.75" customHeight="1">
      <c r="A78" s="131">
        <v>36</v>
      </c>
      <c r="B78" s="146">
        <v>340</v>
      </c>
      <c r="C78" s="146">
        <v>546</v>
      </c>
      <c r="D78" s="146">
        <f>SUM(B78:C78)</f>
        <v>886</v>
      </c>
    </row>
    <row r="79" spans="1:4" ht="9.75" customHeight="1">
      <c r="A79" s="131">
        <v>37</v>
      </c>
      <c r="B79" s="146">
        <v>340</v>
      </c>
      <c r="C79" s="146">
        <v>546</v>
      </c>
      <c r="D79" s="146">
        <f>SUM(B79:C79)</f>
        <v>886</v>
      </c>
    </row>
    <row r="80" spans="1:4" ht="9.75" customHeight="1">
      <c r="A80" s="135" t="s">
        <v>167</v>
      </c>
      <c r="B80" s="135" t="s">
        <v>404</v>
      </c>
      <c r="C80" s="135" t="s">
        <v>532</v>
      </c>
      <c r="D80" s="135" t="s">
        <v>533</v>
      </c>
    </row>
    <row r="81" spans="1:4" ht="11.25" customHeight="1">
      <c r="A81" s="135"/>
      <c r="B81" s="135">
        <f>SUM(B43:B80)</f>
        <v>12580</v>
      </c>
      <c r="C81" s="135">
        <f>SUM(C43:C80)</f>
        <v>20202</v>
      </c>
      <c r="D81" s="135">
        <f>SUM(D43:D80)</f>
        <v>32782</v>
      </c>
    </row>
    <row r="82" ht="9.75" customHeight="1"/>
    <row r="83" ht="9.75" customHeight="1"/>
  </sheetData>
  <mergeCells count="1">
    <mergeCell ref="J15:K1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headerFooter alignWithMargins="0">
    <oddHeader>&amp;LDe Ski&amp;C&amp;A&amp;RConfidentiel/Ghu</oddHeader>
    <oddFooter>&amp;CMouvement des Stocks  Piles et Accu &amp;D&amp;RPage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Mouvement des Stocks  Piles et Accu Mai 98</dc:title>
  <dc:subject>Flux total et inventaire mensuel des produits du stock piles</dc:subject>
  <dc:creator>Kitenge Somwé</dc:creator>
  <cp:keywords/>
  <dc:description/>
  <cp:lastModifiedBy>Kitenge Somwé</cp:lastModifiedBy>
  <cp:lastPrinted>1999-03-10T21:21:27Z</cp:lastPrinted>
  <dcterms:created xsi:type="dcterms:W3CDTF">1998-03-12T17:58:33Z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